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anjcan\Desktop\Høringer\Forurenset grunn\"/>
    </mc:Choice>
  </mc:AlternateContent>
  <xr:revisionPtr revIDLastSave="0" documentId="8_{2E817D0D-0161-429E-8797-9EC808E17F0E}" xr6:coauthVersionLast="44" xr6:coauthVersionMax="44" xr10:uidLastSave="{00000000-0000-0000-0000-000000000000}"/>
  <workbookProtection lockStructure="1"/>
  <bookViews>
    <workbookView xWindow="-110" yWindow="-110" windowWidth="19420" windowHeight="10420" tabRatio="708" xr2:uid="{00000000-000D-0000-FFFF-FFFF00000000}"/>
  </bookViews>
  <sheets>
    <sheet name="Brukerveiledning" sheetId="35" r:id="rId1"/>
    <sheet name="0 Sjekkliste" sheetId="33" r:id="rId2"/>
    <sheet name="1a. Spredningsmodell input" sheetId="9" r:id="rId3"/>
    <sheet name="1b. Kons. umettet jord" sheetId="22" r:id="rId4"/>
    <sheet name="1c. Kons. porevann" sheetId="23" r:id="rId5"/>
    <sheet name="1d. Kons. mettet sone" sheetId="24" r:id="rId6"/>
    <sheet name="1e. Kons. grunnvann" sheetId="25" r:id="rId7"/>
    <sheet name="1f. Kons. resipient" sheetId="27" r:id="rId8"/>
    <sheet name="2a. Prognose umettet jord" sheetId="29" r:id="rId9"/>
    <sheet name="2b. Prognose mettet sone" sheetId="30" r:id="rId10"/>
    <sheet name="2c. Prognose grunnvann" sheetId="32" r:id="rId11"/>
    <sheet name="2d. Prognose resipient" sheetId="31" r:id="rId12"/>
    <sheet name="Mellomregninger" sheetId="28" r:id="rId13"/>
    <sheet name="Figur-Beregninger (hide)" sheetId="11" state="hidden" r:id="rId14"/>
    <sheet name="Figur-output" sheetId="12" r:id="rId15"/>
    <sheet name="Stoff" sheetId="14" r:id="rId16"/>
    <sheet name="Revisjonsprotokoll" sheetId="34" r:id="rId17"/>
  </sheets>
  <externalReferences>
    <externalReference r:id="rId18"/>
  </externalReferences>
  <definedNames>
    <definedName name="absorpsjonsfaktor" localSheetId="0">'[1]1a. Stedsspesifikke data'!$C$47</definedName>
    <definedName name="absorpsjonsfaktor">#REF!</definedName>
    <definedName name="bassengdyp" localSheetId="0">'[1]1a. Stedsspesifikke data'!#REF!</definedName>
    <definedName name="bassengdyp">#REF!</definedName>
    <definedName name="bioturbdyp" localSheetId="0">'[1]1a. Stedsspesifikke data'!$C$40</definedName>
    <definedName name="bioturbdyp">#REF!</definedName>
    <definedName name="bioturbfaktor" localSheetId="0">'[1]1a. Stedsspesifikke data'!$C$25</definedName>
    <definedName name="bioturbfaktor">#REF!</definedName>
    <definedName name="bulkdensitet">#REF!</definedName>
    <definedName name="Cpvermålt">#REF!</definedName>
    <definedName name="Cpvikkemålt">#REF!</definedName>
    <definedName name="Csverikkemålt">#REF!</definedName>
    <definedName name="Csvermålt">#REF!</definedName>
    <definedName name="difflengde" localSheetId="0">'[1]1a. Stedsspesifikke data'!$C$26</definedName>
    <definedName name="difflengde">#REF!</definedName>
    <definedName name="ETsedB" localSheetId="0">'[1]1a. Stedsspesifikke data'!$E$67</definedName>
    <definedName name="ETsedB">#REF!</definedName>
    <definedName name="ETsedV" localSheetId="0">'[1]1a. Stedsspesifikke data'!$D$67</definedName>
    <definedName name="ETsedV">#REF!</definedName>
    <definedName name="ETsjøB" localSheetId="0">'[1]1a. Stedsspesifikke data'!$E$71</definedName>
    <definedName name="ETsjøB">#REF!</definedName>
    <definedName name="ETsjøV" localSheetId="0">'[1]1a. Stedsspesifikke data'!$D$71</definedName>
    <definedName name="ETsjøV">#REF!</definedName>
    <definedName name="fexphsedB" localSheetId="0">'[1]1a. Stedsspesifikke data'!$E$63</definedName>
    <definedName name="fexphsedB">#REF!</definedName>
    <definedName name="fexphsedV" localSheetId="0">'[1]1a. Stedsspesifikke data'!$D$63</definedName>
    <definedName name="fexphsedV">#REF!</definedName>
    <definedName name="fexphsvB" localSheetId="0">'[1]1a. Stedsspesifikke data'!$E$69</definedName>
    <definedName name="fexphsvB">#REF!</definedName>
    <definedName name="fexphsvV" localSheetId="0">'[1]1a. Stedsspesifikke data'!$D$69</definedName>
    <definedName name="fexphsvV">#REF!</definedName>
    <definedName name="fexpipmB" localSheetId="0">'[1]1a. Stedsspesifikke data'!$E$60</definedName>
    <definedName name="fexpipmB">#REF!</definedName>
    <definedName name="fexpipmV" localSheetId="0">'[1]1a. Stedsspesifikke data'!$D$60</definedName>
    <definedName name="fexpipmV">#REF!</definedName>
    <definedName name="fexpisedbarn" localSheetId="0">'[1]1a. Stedsspesifikke data'!$E$54</definedName>
    <definedName name="fexpisedbarn">#REF!</definedName>
    <definedName name="fexpisedvoksen" localSheetId="0">'[1]1a. Stedsspesifikke data'!$D$54</definedName>
    <definedName name="fexpisedvoksen">#REF!</definedName>
    <definedName name="fexpisvbarn" localSheetId="0">'[1]1a. Stedsspesifikke data'!$E$57</definedName>
    <definedName name="fexpisvbarn">#REF!</definedName>
    <definedName name="fexpisvvoksen" localSheetId="0">'[1]1a. Stedsspesifikke data'!$D$57</definedName>
    <definedName name="fexpisvvoksen">#REF!</definedName>
    <definedName name="fiskinntak" localSheetId="0">'[1]1a. Stedsspesifikke data'!$D$73</definedName>
    <definedName name="fiskinntak">#REF!</definedName>
    <definedName name="fiskinntakbarn" localSheetId="0">'[1]1a. Stedsspesifikke data'!$E$73</definedName>
    <definedName name="fiskinntakbarn">#REF!</definedName>
    <definedName name="fkarbon" localSheetId="0">'[1]1a. Stedsspesifikke data'!$C$34</definedName>
    <definedName name="fkarbon">#REF!</definedName>
    <definedName name="forganiskkarbon" localSheetId="0">'[1]1a. Stedsspesifikke data'!$C$36</definedName>
    <definedName name="forganiskkarbon">#REF!</definedName>
    <definedName name="fraksjontørrvekt" localSheetId="0">'[1]1a. Stedsspesifikke data'!$C$42</definedName>
    <definedName name="fraksjontørrvekt">#REF!</definedName>
    <definedName name="fsusp" localSheetId="0">'[1]1a. Stedsspesifikke data'!$C$32</definedName>
    <definedName name="fsusp">#REF!</definedName>
    <definedName name="hudabsbarn" localSheetId="0">'[1]1a. Stedsspesifikke data'!#REF!</definedName>
    <definedName name="hudabsbarn">#REF!</definedName>
    <definedName name="hudabssedB" localSheetId="0">'[1]1a. Stedsspesifikke data'!$E$66</definedName>
    <definedName name="hudabssedB">#REF!</definedName>
    <definedName name="hudabssedV" localSheetId="0">'[1]1a. Stedsspesifikke data'!$D$66</definedName>
    <definedName name="hudabssedV">#REF!</definedName>
    <definedName name="hudabssjø" localSheetId="0">'[1]1a. Stedsspesifikke data'!#REF!</definedName>
    <definedName name="hudabssjø">#REF!</definedName>
    <definedName name="hudarealsedB" localSheetId="0">'[1]1a. Stedsspesifikke data'!$E$64</definedName>
    <definedName name="hudarealsedB">#REF!</definedName>
    <definedName name="hudarealsedV" localSheetId="0">'[1]1a. Stedsspesifikke data'!$D$64</definedName>
    <definedName name="hudarealsedV">#REF!</definedName>
    <definedName name="hudarealsjø" localSheetId="0">'[1]1a. Stedsspesifikke data'!$D$70</definedName>
    <definedName name="hudarealsjø">#REF!</definedName>
    <definedName name="hudarealsjøbarn" localSheetId="0">'[1]1a. Stedsspesifikke data'!$E$70</definedName>
    <definedName name="hudarealsjøbarn">#REF!</definedName>
    <definedName name="hudhefterate" localSheetId="0">'[1]1a. Stedsspesifikke data'!$D$65</definedName>
    <definedName name="hudhefterate">#REF!</definedName>
    <definedName name="hudhefteratebarn" localSheetId="0">'[1]1a. Stedsspesifikke data'!$E$65</definedName>
    <definedName name="hudhefteratebarn">#REF!</definedName>
    <definedName name="innholdpartikulært" localSheetId="0">'[1]1a. Stedsspesifikke data'!$C$49</definedName>
    <definedName name="innholdpartikulært">#REF!</definedName>
    <definedName name="karbonomsatt" localSheetId="0">'[1]1a. Stedsspesifikke data'!$C$37</definedName>
    <definedName name="karbonomsatt">#REF!</definedName>
    <definedName name="karbontilførsel" localSheetId="0">'[1]1a. Stedsspesifikke data'!$C$35</definedName>
    <definedName name="karbontilførsel">#REF!</definedName>
    <definedName name="KF" localSheetId="0">'[1]1a. Stedsspesifikke data'!$C$50</definedName>
    <definedName name="KF">#REF!</definedName>
    <definedName name="korreksjon" localSheetId="0">'[1]1a. Stedsspesifikke data'!$C$15</definedName>
    <definedName name="korreksjon">#REF!</definedName>
    <definedName name="kroppsvektbarn" localSheetId="0">'[1]1a. Stedsspesifikke data'!$E$52</definedName>
    <definedName name="kroppsvektbarn">#REF!</definedName>
    <definedName name="kroppsvektvoksen" localSheetId="0">'[1]1a. Stedsspesifikke data'!$D$52</definedName>
    <definedName name="kroppsvektvoksen">#REF!</definedName>
    <definedName name="matriksfaktor" localSheetId="0">'[1]1a. Stedsspesifikke data'!$C$48</definedName>
    <definedName name="matriksfaktor">#REF!</definedName>
    <definedName name="oppholdstid" localSheetId="0">'[1]1a. Stedsspesifikke data'!#REF!</definedName>
    <definedName name="oppholdstid">#REF!</definedName>
    <definedName name="oppholdstidvann" localSheetId="0">'[1]1a. Stedsspesifikke data'!$C$19</definedName>
    <definedName name="oppholdstidvann">#REF!</definedName>
    <definedName name="oppvirvlet" localSheetId="0">'[1]1a. Stedsspesifikke data'!$C$30</definedName>
    <definedName name="oppvirvlet">#REF!</definedName>
    <definedName name="porøsitet" localSheetId="0">'[1]1a. Stedsspesifikke data'!$C$14</definedName>
    <definedName name="porøsitet">#REF!</definedName>
    <definedName name="sedareal" localSheetId="0">'[1]1a. Stedsspesifikke data'!$C$17</definedName>
    <definedName name="sedareal">#REF!</definedName>
    <definedName name="sedarealskip" localSheetId="0">'[1]1a. Stedsspesifikke data'!$C$31</definedName>
    <definedName name="sedarealskip">#REF!</definedName>
    <definedName name="sedimentasjon" localSheetId="0">'[1]1a. Stedsspesifikke data'!#REF!</definedName>
    <definedName name="sedimentasjon">#REF!</definedName>
    <definedName name="sedimentinntak" localSheetId="0">'[1]1a. Stedsspesifikke data'!$D$55</definedName>
    <definedName name="sedimentinntak">#REF!</definedName>
    <definedName name="sedimentinntakbarn" localSheetId="0">'[1]1a. Stedsspesifikke data'!$E$55</definedName>
    <definedName name="sedimentinntakbarn">#REF!</definedName>
    <definedName name="sjøvannsinntak" localSheetId="0">'[1]1a. Stedsspesifikke data'!$D$58</definedName>
    <definedName name="sjøvannsinntak">#REF!</definedName>
    <definedName name="sjøvannsinntakbarn" localSheetId="0">'[1]1a. Stedsspesifikke data'!$E$58</definedName>
    <definedName name="sjøvannsinntakbarn">#REF!</definedName>
    <definedName name="skipsanløp" localSheetId="0">'[1]1a. Stedsspesifikke data'!$C$28</definedName>
    <definedName name="skipsanløp">#REF!</definedName>
    <definedName name="snittdybde" localSheetId="0">'[1]1a. Stedsspesifikke data'!#REF!</definedName>
    <definedName name="snittdybde">#REF!</definedName>
    <definedName name="stdbioturb" localSheetId="0">'[1]1a. Stedsspesifikke data'!$B$25</definedName>
    <definedName name="stdbioturb">#REF!</definedName>
    <definedName name="stdbioturbdyp">#REF!</definedName>
    <definedName name="stdbulkdensitet">#REF!</definedName>
    <definedName name="stddifflengde" localSheetId="0">'[1]1a. Stedsspesifikke data'!$B$26</definedName>
    <definedName name="stddifflengde">#REF!</definedName>
    <definedName name="stdfkarbon" localSheetId="0">'[1]1a. Stedsspesifikke data'!$B$34</definedName>
    <definedName name="stdfkarbon">#REF!</definedName>
    <definedName name="stdforgkarbon" localSheetId="0">'[1]1a. Stedsspesifikke data'!$B$36</definedName>
    <definedName name="stdforgkarbon">#REF!</definedName>
    <definedName name="stdfraksjontørrvekt">#REF!</definedName>
    <definedName name="stdkarbonomsatt" localSheetId="0">'[1]1a. Stedsspesifikke data'!$B$37</definedName>
    <definedName name="stdkarbonomsatt">#REF!</definedName>
    <definedName name="stdkarbontilførsel" localSheetId="0">'[1]1a. Stedsspesifikke data'!$B$35</definedName>
    <definedName name="stdkarbontilførsel">#REF!</definedName>
    <definedName name="stdoppvirvlet">#REF!</definedName>
    <definedName name="stdporøsitet" localSheetId="0">'[1]1a. Stedsspesifikke data'!$B$14</definedName>
    <definedName name="stdporøsitet">#REF!</definedName>
    <definedName name="stdsedimentasjon" localSheetId="0">'[1]1a. Stedsspesifikke data'!#REF!</definedName>
    <definedName name="stdsedimentasjon">#REF!</definedName>
    <definedName name="stdtetthetsediment">#REF!</definedName>
    <definedName name="stdtoc">#REF!</definedName>
    <definedName name="stdtoruositet" localSheetId="0">'[1]1a. Stedsspesifikke data'!$B$24</definedName>
    <definedName name="stdtoruositet">#REF!</definedName>
    <definedName name="stdtrasélengde" localSheetId="0">'[1]1a. Stedsspesifikke data'!$B$29</definedName>
    <definedName name="stdtrasélengde">#REF!</definedName>
    <definedName name="tetthetsediment" localSheetId="0">'[1]1a. Stedsspesifikke data'!$C$41</definedName>
    <definedName name="tetthetsediment">#REF!</definedName>
    <definedName name="TOC" localSheetId="0">'[1]1a. Stedsspesifikke data'!$C$12</definedName>
    <definedName name="TOC">#REF!</definedName>
    <definedName name="tortuositet" localSheetId="0">'[1]1a. Stedsspesifikke data'!$C$24</definedName>
    <definedName name="tortuositet">#REF!</definedName>
    <definedName name="Trasélengde" localSheetId="0">'[1]1a. Stedsspesifikke data'!$C$29</definedName>
    <definedName name="Trasélengde">#REF!</definedName>
    <definedName name="Tstandard">#REF!</definedName>
    <definedName name="_xlnm.Print_Area" localSheetId="2">'1a. Spredningsmodell input'!$R$1:$S$60</definedName>
    <definedName name="_xlnm.Print_Area" localSheetId="14">'Figur-output'!$A$1:$P$51</definedName>
    <definedName name="_xlnm.Print_Area" localSheetId="15">Stoff!$A$1:$Q$73</definedName>
    <definedName name="_xlnm.Print_Titles" localSheetId="15">Stoff!$A:$A,Stoff!$1:$1</definedName>
    <definedName name="vannvolum" localSheetId="0">'[1]1a. Stedsspesifikke data'!$C$18</definedName>
    <definedName name="vannvolum">#REF!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8" i="14" l="1"/>
  <c r="P19" i="14"/>
  <c r="P20" i="14"/>
  <c r="P21" i="14"/>
  <c r="P22" i="14"/>
  <c r="P23" i="14"/>
  <c r="P24" i="14"/>
  <c r="P25" i="14"/>
  <c r="P26" i="14"/>
  <c r="P27" i="14"/>
  <c r="P28" i="14"/>
  <c r="P29" i="14"/>
  <c r="P30" i="14"/>
  <c r="P31" i="14"/>
  <c r="P32" i="14"/>
  <c r="P33" i="14"/>
  <c r="P34" i="14"/>
  <c r="P35" i="14"/>
  <c r="P36" i="14"/>
  <c r="P37" i="14"/>
  <c r="P38" i="14"/>
  <c r="P39" i="14"/>
  <c r="P40" i="14"/>
  <c r="P41" i="14"/>
  <c r="P42" i="14"/>
  <c r="P43" i="14"/>
  <c r="P44" i="14"/>
  <c r="P45" i="14"/>
  <c r="P46" i="14"/>
  <c r="P47" i="14"/>
  <c r="P48" i="14"/>
  <c r="P49" i="14"/>
  <c r="P50" i="14"/>
  <c r="P51" i="14"/>
  <c r="P52" i="14"/>
  <c r="P53" i="14"/>
  <c r="P54" i="14"/>
  <c r="P55" i="14"/>
  <c r="P56" i="14"/>
  <c r="P57" i="14"/>
  <c r="P58" i="14"/>
  <c r="P59" i="14"/>
  <c r="P60" i="14"/>
  <c r="P61" i="14"/>
  <c r="P62" i="14"/>
  <c r="P63" i="14"/>
  <c r="P64" i="14"/>
  <c r="P65" i="14"/>
  <c r="P66" i="14"/>
  <c r="P67" i="14"/>
  <c r="P68" i="14"/>
  <c r="P69" i="14"/>
  <c r="P70" i="14"/>
  <c r="P71" i="14"/>
  <c r="P72" i="14"/>
  <c r="P73" i="14"/>
  <c r="P74" i="14"/>
  <c r="P75" i="14"/>
  <c r="P76" i="14"/>
  <c r="P77" i="14"/>
  <c r="P78" i="14"/>
  <c r="P79" i="14"/>
  <c r="P80" i="14"/>
  <c r="P81" i="14"/>
  <c r="P82" i="14"/>
  <c r="P83" i="14"/>
  <c r="P84" i="14"/>
  <c r="P85" i="14"/>
  <c r="P86" i="14"/>
  <c r="P87" i="14"/>
  <c r="P88" i="14"/>
  <c r="P89" i="14"/>
  <c r="P90" i="14"/>
  <c r="P91" i="14"/>
  <c r="P92" i="14"/>
  <c r="P93" i="14"/>
  <c r="P94" i="14"/>
  <c r="P95" i="14"/>
  <c r="P96" i="14"/>
  <c r="P97" i="14"/>
  <c r="P98" i="14"/>
  <c r="P99" i="14"/>
  <c r="P100" i="14"/>
  <c r="P101" i="14"/>
  <c r="P102" i="14"/>
  <c r="P103" i="14"/>
  <c r="P104" i="14"/>
  <c r="P105" i="14"/>
  <c r="P106" i="14"/>
  <c r="P107" i="14"/>
  <c r="P108" i="14"/>
  <c r="P109" i="14"/>
  <c r="P110" i="14"/>
  <c r="P111" i="14"/>
  <c r="P112" i="14"/>
  <c r="P113" i="14"/>
  <c r="P114" i="14"/>
  <c r="P4" i="14"/>
  <c r="P5" i="14"/>
  <c r="P6" i="14"/>
  <c r="P7" i="14"/>
  <c r="P8" i="14"/>
  <c r="P9" i="14"/>
  <c r="P10" i="14"/>
  <c r="P11" i="14"/>
  <c r="P12" i="14"/>
  <c r="P13" i="14"/>
  <c r="P14" i="14"/>
  <c r="P15" i="14"/>
  <c r="P16" i="14"/>
  <c r="P17" i="14"/>
  <c r="C87" i="22"/>
  <c r="A87" i="22"/>
  <c r="B87" i="22"/>
  <c r="D87" i="22"/>
  <c r="E87" i="22"/>
  <c r="F87" i="22"/>
  <c r="C88" i="22"/>
  <c r="A88" i="22"/>
  <c r="B88" i="22"/>
  <c r="D88" i="22"/>
  <c r="E88" i="22"/>
  <c r="F88" i="22"/>
  <c r="C89" i="22"/>
  <c r="A89" i="22"/>
  <c r="B89" i="22"/>
  <c r="D89" i="22"/>
  <c r="E89" i="22"/>
  <c r="F89" i="22"/>
  <c r="C90" i="22"/>
  <c r="A90" i="22"/>
  <c r="B90" i="22"/>
  <c r="D90" i="22"/>
  <c r="E90" i="22"/>
  <c r="F90" i="22"/>
  <c r="C91" i="22"/>
  <c r="A91" i="22"/>
  <c r="B91" i="22"/>
  <c r="D91" i="22"/>
  <c r="E91" i="22"/>
  <c r="F91" i="22"/>
  <c r="C92" i="22"/>
  <c r="A92" i="22"/>
  <c r="B92" i="22"/>
  <c r="D92" i="22"/>
  <c r="E92" i="22"/>
  <c r="F92" i="22"/>
  <c r="C93" i="22"/>
  <c r="A93" i="22"/>
  <c r="B93" i="22"/>
  <c r="D93" i="22"/>
  <c r="E93" i="22"/>
  <c r="F93" i="22"/>
  <c r="C94" i="22"/>
  <c r="A94" i="22"/>
  <c r="B94" i="22"/>
  <c r="D94" i="22"/>
  <c r="E94" i="22"/>
  <c r="F94" i="22"/>
  <c r="C95" i="22"/>
  <c r="A95" i="22"/>
  <c r="B95" i="22"/>
  <c r="D95" i="22"/>
  <c r="E95" i="22"/>
  <c r="F95" i="22"/>
  <c r="C96" i="22"/>
  <c r="A96" i="22"/>
  <c r="B96" i="22"/>
  <c r="D96" i="22"/>
  <c r="E96" i="22"/>
  <c r="F96" i="22"/>
  <c r="C97" i="22"/>
  <c r="A97" i="22"/>
  <c r="B97" i="22"/>
  <c r="D97" i="22"/>
  <c r="E97" i="22"/>
  <c r="F97" i="22"/>
  <c r="C98" i="22"/>
  <c r="A98" i="22"/>
  <c r="B98" i="22"/>
  <c r="D98" i="22"/>
  <c r="E98" i="22"/>
  <c r="F98" i="22"/>
  <c r="C99" i="22"/>
  <c r="A99" i="22"/>
  <c r="B99" i="22"/>
  <c r="D99" i="22"/>
  <c r="E99" i="22"/>
  <c r="F99" i="22"/>
  <c r="C100" i="22"/>
  <c r="A100" i="22"/>
  <c r="B100" i="22"/>
  <c r="D100" i="22"/>
  <c r="E100" i="22"/>
  <c r="F100" i="22"/>
  <c r="C101" i="22"/>
  <c r="A101" i="22"/>
  <c r="B101" i="22"/>
  <c r="D101" i="22"/>
  <c r="E101" i="22"/>
  <c r="F101" i="22"/>
  <c r="C102" i="22"/>
  <c r="A102" i="22"/>
  <c r="B102" i="22"/>
  <c r="D102" i="22"/>
  <c r="E102" i="22"/>
  <c r="F102" i="22"/>
  <c r="C103" i="22"/>
  <c r="A103" i="22"/>
  <c r="B103" i="22"/>
  <c r="D103" i="22"/>
  <c r="E103" i="22"/>
  <c r="F103" i="22"/>
  <c r="C104" i="22"/>
  <c r="A104" i="22"/>
  <c r="B104" i="22"/>
  <c r="D104" i="22"/>
  <c r="E104" i="22"/>
  <c r="F104" i="22"/>
  <c r="C105" i="22"/>
  <c r="A105" i="22"/>
  <c r="B105" i="22"/>
  <c r="D105" i="22"/>
  <c r="E105" i="22"/>
  <c r="F105" i="22"/>
  <c r="C106" i="22"/>
  <c r="A106" i="22"/>
  <c r="B106" i="22"/>
  <c r="D106" i="22"/>
  <c r="E106" i="22"/>
  <c r="F106" i="22"/>
  <c r="C107" i="22"/>
  <c r="A107" i="22"/>
  <c r="B107" i="22"/>
  <c r="D107" i="22"/>
  <c r="E107" i="22"/>
  <c r="F107" i="22"/>
  <c r="C108" i="22"/>
  <c r="A108" i="22"/>
  <c r="B108" i="22"/>
  <c r="D108" i="22"/>
  <c r="E108" i="22"/>
  <c r="F108" i="22"/>
  <c r="C109" i="22"/>
  <c r="A109" i="22"/>
  <c r="B109" i="22"/>
  <c r="D109" i="22"/>
  <c r="E109" i="22"/>
  <c r="F109" i="22"/>
  <c r="C110" i="22"/>
  <c r="A110" i="22"/>
  <c r="B110" i="22"/>
  <c r="D110" i="22"/>
  <c r="E110" i="22"/>
  <c r="F110" i="22"/>
  <c r="C111" i="22"/>
  <c r="A111" i="22"/>
  <c r="B111" i="22"/>
  <c r="D111" i="22"/>
  <c r="E111" i="22"/>
  <c r="F111" i="22"/>
  <c r="C112" i="22"/>
  <c r="A112" i="22"/>
  <c r="B112" i="22"/>
  <c r="D112" i="22"/>
  <c r="E112" i="22"/>
  <c r="F112" i="22"/>
  <c r="C113" i="22"/>
  <c r="A113" i="22"/>
  <c r="B113" i="22"/>
  <c r="D113" i="22"/>
  <c r="E113" i="22"/>
  <c r="F113" i="22"/>
  <c r="C114" i="22"/>
  <c r="A114" i="22"/>
  <c r="B114" i="22"/>
  <c r="D114" i="22"/>
  <c r="E114" i="22"/>
  <c r="F114" i="22"/>
  <c r="C87" i="23"/>
  <c r="A87" i="23"/>
  <c r="B87" i="23"/>
  <c r="D87" i="23"/>
  <c r="E87" i="23"/>
  <c r="F87" i="23"/>
  <c r="C88" i="23"/>
  <c r="A88" i="23"/>
  <c r="B88" i="23"/>
  <c r="D88" i="23"/>
  <c r="E88" i="23"/>
  <c r="F88" i="23"/>
  <c r="C89" i="23"/>
  <c r="A89" i="23"/>
  <c r="B89" i="23"/>
  <c r="D89" i="23"/>
  <c r="E89" i="23"/>
  <c r="F89" i="23"/>
  <c r="C90" i="23"/>
  <c r="A90" i="23"/>
  <c r="B90" i="23"/>
  <c r="D90" i="23"/>
  <c r="E90" i="23"/>
  <c r="F90" i="23"/>
  <c r="C91" i="23"/>
  <c r="A91" i="23"/>
  <c r="B91" i="23"/>
  <c r="D91" i="23"/>
  <c r="E91" i="23"/>
  <c r="F91" i="23"/>
  <c r="C92" i="23"/>
  <c r="A92" i="23"/>
  <c r="B92" i="23"/>
  <c r="D92" i="23"/>
  <c r="E92" i="23"/>
  <c r="F92" i="23"/>
  <c r="C93" i="23"/>
  <c r="A93" i="23"/>
  <c r="B93" i="23"/>
  <c r="D93" i="23"/>
  <c r="E93" i="23"/>
  <c r="F93" i="23"/>
  <c r="C94" i="23"/>
  <c r="A94" i="23"/>
  <c r="B94" i="23"/>
  <c r="D94" i="23"/>
  <c r="E94" i="23"/>
  <c r="F94" i="23"/>
  <c r="C95" i="23"/>
  <c r="A95" i="23"/>
  <c r="B95" i="23"/>
  <c r="D95" i="23"/>
  <c r="E95" i="23"/>
  <c r="F95" i="23"/>
  <c r="C96" i="23"/>
  <c r="A96" i="23"/>
  <c r="B96" i="23"/>
  <c r="D96" i="23"/>
  <c r="E96" i="23"/>
  <c r="F96" i="23"/>
  <c r="C97" i="23"/>
  <c r="A97" i="23"/>
  <c r="B97" i="23"/>
  <c r="D97" i="23"/>
  <c r="E97" i="23"/>
  <c r="F97" i="23"/>
  <c r="C98" i="23"/>
  <c r="A98" i="23"/>
  <c r="B98" i="23"/>
  <c r="D98" i="23"/>
  <c r="E98" i="23"/>
  <c r="F98" i="23"/>
  <c r="C99" i="23"/>
  <c r="A99" i="23"/>
  <c r="B99" i="23"/>
  <c r="D99" i="23"/>
  <c r="E99" i="23"/>
  <c r="F99" i="23"/>
  <c r="C100" i="23"/>
  <c r="A100" i="23"/>
  <c r="B100" i="23"/>
  <c r="D100" i="23"/>
  <c r="E100" i="23"/>
  <c r="F100" i="23"/>
  <c r="C101" i="23"/>
  <c r="A101" i="23"/>
  <c r="B101" i="23"/>
  <c r="D101" i="23"/>
  <c r="E101" i="23"/>
  <c r="F101" i="23"/>
  <c r="C102" i="23"/>
  <c r="A102" i="23"/>
  <c r="B102" i="23"/>
  <c r="D102" i="23"/>
  <c r="E102" i="23"/>
  <c r="F102" i="23"/>
  <c r="C103" i="23"/>
  <c r="A103" i="23"/>
  <c r="B103" i="23"/>
  <c r="D103" i="23"/>
  <c r="E103" i="23"/>
  <c r="F103" i="23"/>
  <c r="C104" i="23"/>
  <c r="A104" i="23"/>
  <c r="B104" i="23"/>
  <c r="D104" i="23"/>
  <c r="E104" i="23"/>
  <c r="F104" i="23"/>
  <c r="C105" i="23"/>
  <c r="A105" i="23"/>
  <c r="B105" i="23"/>
  <c r="D105" i="23"/>
  <c r="E105" i="23"/>
  <c r="F105" i="23"/>
  <c r="C106" i="23"/>
  <c r="A106" i="23"/>
  <c r="B106" i="23"/>
  <c r="D106" i="23"/>
  <c r="E106" i="23"/>
  <c r="F106" i="23"/>
  <c r="C107" i="23"/>
  <c r="A107" i="23"/>
  <c r="B107" i="23"/>
  <c r="D107" i="23"/>
  <c r="E107" i="23"/>
  <c r="F107" i="23"/>
  <c r="C108" i="23"/>
  <c r="A108" i="23"/>
  <c r="B108" i="23"/>
  <c r="D108" i="23"/>
  <c r="E108" i="23"/>
  <c r="F108" i="23"/>
  <c r="C109" i="23"/>
  <c r="A109" i="23"/>
  <c r="B109" i="23"/>
  <c r="D109" i="23"/>
  <c r="E109" i="23"/>
  <c r="F109" i="23"/>
  <c r="C110" i="23"/>
  <c r="A110" i="23"/>
  <c r="B110" i="23"/>
  <c r="D110" i="23"/>
  <c r="E110" i="23"/>
  <c r="F110" i="23"/>
  <c r="C111" i="23"/>
  <c r="A111" i="23"/>
  <c r="B111" i="23"/>
  <c r="D111" i="23"/>
  <c r="E111" i="23"/>
  <c r="F111" i="23"/>
  <c r="C112" i="23"/>
  <c r="A112" i="23"/>
  <c r="B112" i="23"/>
  <c r="D112" i="23"/>
  <c r="E112" i="23"/>
  <c r="F112" i="23"/>
  <c r="C113" i="23"/>
  <c r="A113" i="23"/>
  <c r="B113" i="23"/>
  <c r="D113" i="23"/>
  <c r="E113" i="23"/>
  <c r="F113" i="23"/>
  <c r="C114" i="23"/>
  <c r="A114" i="23"/>
  <c r="B114" i="23"/>
  <c r="D114" i="23"/>
  <c r="E114" i="23"/>
  <c r="F114" i="23"/>
  <c r="C87" i="24"/>
  <c r="A87" i="24"/>
  <c r="B87" i="24"/>
  <c r="D87" i="24"/>
  <c r="E87" i="24"/>
  <c r="F87" i="24"/>
  <c r="C88" i="24"/>
  <c r="A88" i="24"/>
  <c r="B88" i="24"/>
  <c r="D88" i="24"/>
  <c r="E88" i="24"/>
  <c r="F88" i="24"/>
  <c r="C89" i="24"/>
  <c r="A89" i="24"/>
  <c r="B89" i="24"/>
  <c r="D89" i="24"/>
  <c r="E89" i="24"/>
  <c r="F89" i="24"/>
  <c r="C90" i="24"/>
  <c r="A90" i="24"/>
  <c r="B90" i="24"/>
  <c r="D90" i="24"/>
  <c r="E90" i="24"/>
  <c r="F90" i="24"/>
  <c r="C91" i="24"/>
  <c r="A91" i="24"/>
  <c r="B91" i="24"/>
  <c r="D91" i="24"/>
  <c r="E91" i="24"/>
  <c r="F91" i="24"/>
  <c r="C92" i="24"/>
  <c r="A92" i="24"/>
  <c r="B92" i="24"/>
  <c r="D92" i="24"/>
  <c r="E92" i="24"/>
  <c r="F92" i="24"/>
  <c r="C93" i="24"/>
  <c r="A93" i="24"/>
  <c r="B93" i="24"/>
  <c r="D93" i="24"/>
  <c r="E93" i="24"/>
  <c r="F93" i="24"/>
  <c r="C94" i="24"/>
  <c r="A94" i="24"/>
  <c r="B94" i="24"/>
  <c r="D94" i="24"/>
  <c r="E94" i="24"/>
  <c r="F94" i="24"/>
  <c r="C95" i="24"/>
  <c r="A95" i="24"/>
  <c r="B95" i="24"/>
  <c r="D95" i="24"/>
  <c r="E95" i="24"/>
  <c r="F95" i="24"/>
  <c r="C96" i="24"/>
  <c r="A96" i="24"/>
  <c r="B96" i="24"/>
  <c r="D96" i="24"/>
  <c r="E96" i="24"/>
  <c r="F96" i="24"/>
  <c r="C97" i="24"/>
  <c r="A97" i="24"/>
  <c r="B97" i="24"/>
  <c r="D97" i="24"/>
  <c r="E97" i="24"/>
  <c r="F97" i="24"/>
  <c r="C98" i="24"/>
  <c r="A98" i="24"/>
  <c r="B98" i="24"/>
  <c r="D98" i="24"/>
  <c r="E98" i="24"/>
  <c r="F98" i="24"/>
  <c r="C99" i="24"/>
  <c r="A99" i="24"/>
  <c r="B99" i="24"/>
  <c r="D99" i="24"/>
  <c r="E99" i="24"/>
  <c r="F99" i="24"/>
  <c r="C100" i="24"/>
  <c r="A100" i="24"/>
  <c r="B100" i="24"/>
  <c r="D100" i="24"/>
  <c r="E100" i="24"/>
  <c r="F100" i="24"/>
  <c r="C101" i="24"/>
  <c r="A101" i="24"/>
  <c r="B101" i="24"/>
  <c r="D101" i="24"/>
  <c r="E101" i="24"/>
  <c r="F101" i="24"/>
  <c r="C102" i="24"/>
  <c r="A102" i="24"/>
  <c r="B102" i="24"/>
  <c r="D102" i="24"/>
  <c r="E102" i="24"/>
  <c r="F102" i="24"/>
  <c r="C103" i="24"/>
  <c r="A103" i="24"/>
  <c r="B103" i="24"/>
  <c r="D103" i="24"/>
  <c r="E103" i="24"/>
  <c r="F103" i="24"/>
  <c r="C104" i="24"/>
  <c r="A104" i="24"/>
  <c r="B104" i="24"/>
  <c r="D104" i="24"/>
  <c r="E104" i="24"/>
  <c r="F104" i="24"/>
  <c r="C105" i="24"/>
  <c r="A105" i="24"/>
  <c r="B105" i="24"/>
  <c r="D105" i="24"/>
  <c r="E105" i="24"/>
  <c r="F105" i="24"/>
  <c r="C106" i="24"/>
  <c r="A106" i="24"/>
  <c r="B106" i="24"/>
  <c r="D106" i="24"/>
  <c r="E106" i="24"/>
  <c r="F106" i="24"/>
  <c r="C107" i="24"/>
  <c r="A107" i="24"/>
  <c r="B107" i="24"/>
  <c r="D107" i="24"/>
  <c r="E107" i="24"/>
  <c r="F107" i="24"/>
  <c r="C108" i="24"/>
  <c r="A108" i="24"/>
  <c r="B108" i="24"/>
  <c r="D108" i="24"/>
  <c r="E108" i="24"/>
  <c r="F108" i="24"/>
  <c r="C109" i="24"/>
  <c r="A109" i="24"/>
  <c r="B109" i="24"/>
  <c r="D109" i="24"/>
  <c r="E109" i="24"/>
  <c r="F109" i="24"/>
  <c r="C110" i="24"/>
  <c r="A110" i="24"/>
  <c r="B110" i="24"/>
  <c r="D110" i="24"/>
  <c r="E110" i="24"/>
  <c r="F110" i="24"/>
  <c r="C111" i="24"/>
  <c r="A111" i="24"/>
  <c r="B111" i="24"/>
  <c r="D111" i="24"/>
  <c r="E111" i="24"/>
  <c r="F111" i="24"/>
  <c r="C112" i="24"/>
  <c r="A112" i="24"/>
  <c r="B112" i="24"/>
  <c r="D112" i="24"/>
  <c r="E112" i="24"/>
  <c r="F112" i="24"/>
  <c r="C113" i="24"/>
  <c r="A113" i="24"/>
  <c r="B113" i="24"/>
  <c r="D113" i="24"/>
  <c r="E113" i="24"/>
  <c r="F113" i="24"/>
  <c r="C114" i="24"/>
  <c r="A114" i="24"/>
  <c r="B114" i="24"/>
  <c r="D114" i="24"/>
  <c r="E114" i="24"/>
  <c r="F114" i="24"/>
  <c r="C87" i="25"/>
  <c r="A87" i="25"/>
  <c r="B87" i="25"/>
  <c r="D87" i="25"/>
  <c r="E87" i="25"/>
  <c r="F87" i="25"/>
  <c r="C88" i="25"/>
  <c r="A88" i="25"/>
  <c r="B88" i="25"/>
  <c r="D88" i="25"/>
  <c r="E88" i="25"/>
  <c r="F88" i="25"/>
  <c r="C89" i="25"/>
  <c r="A89" i="25"/>
  <c r="B89" i="25"/>
  <c r="D89" i="25"/>
  <c r="E89" i="25"/>
  <c r="F89" i="25"/>
  <c r="C90" i="25"/>
  <c r="A90" i="25"/>
  <c r="B90" i="25"/>
  <c r="D90" i="25"/>
  <c r="E90" i="25"/>
  <c r="F90" i="25"/>
  <c r="C91" i="25"/>
  <c r="A91" i="25"/>
  <c r="B91" i="25"/>
  <c r="D91" i="25"/>
  <c r="E91" i="25"/>
  <c r="F91" i="25"/>
  <c r="C92" i="25"/>
  <c r="A92" i="25"/>
  <c r="B92" i="25"/>
  <c r="D92" i="25"/>
  <c r="E92" i="25"/>
  <c r="F92" i="25"/>
  <c r="C93" i="25"/>
  <c r="A93" i="25"/>
  <c r="B93" i="25"/>
  <c r="D93" i="25"/>
  <c r="E93" i="25"/>
  <c r="F93" i="25"/>
  <c r="C94" i="25"/>
  <c r="A94" i="25"/>
  <c r="B94" i="25"/>
  <c r="D94" i="25"/>
  <c r="E94" i="25"/>
  <c r="F94" i="25"/>
  <c r="C95" i="25"/>
  <c r="A95" i="25"/>
  <c r="B95" i="25"/>
  <c r="D95" i="25"/>
  <c r="E95" i="25"/>
  <c r="F95" i="25"/>
  <c r="C96" i="25"/>
  <c r="A96" i="25"/>
  <c r="B96" i="25"/>
  <c r="D96" i="25"/>
  <c r="E96" i="25"/>
  <c r="F96" i="25"/>
  <c r="C97" i="25"/>
  <c r="A97" i="25"/>
  <c r="B97" i="25"/>
  <c r="D97" i="25"/>
  <c r="E97" i="25"/>
  <c r="F97" i="25"/>
  <c r="C98" i="25"/>
  <c r="A98" i="25"/>
  <c r="B98" i="25"/>
  <c r="D98" i="25"/>
  <c r="E98" i="25"/>
  <c r="F98" i="25"/>
  <c r="C99" i="25"/>
  <c r="A99" i="25"/>
  <c r="B99" i="25"/>
  <c r="D99" i="25"/>
  <c r="E99" i="25"/>
  <c r="F99" i="25"/>
  <c r="C100" i="25"/>
  <c r="A100" i="25"/>
  <c r="B100" i="25"/>
  <c r="D100" i="25"/>
  <c r="E100" i="25"/>
  <c r="F100" i="25"/>
  <c r="C101" i="25"/>
  <c r="A101" i="25"/>
  <c r="B101" i="25"/>
  <c r="D101" i="25"/>
  <c r="E101" i="25"/>
  <c r="F101" i="25"/>
  <c r="C102" i="25"/>
  <c r="A102" i="25"/>
  <c r="B102" i="25"/>
  <c r="D102" i="25"/>
  <c r="E102" i="25"/>
  <c r="F102" i="25"/>
  <c r="C103" i="25"/>
  <c r="A103" i="25"/>
  <c r="B103" i="25"/>
  <c r="D103" i="25"/>
  <c r="E103" i="25"/>
  <c r="F103" i="25"/>
  <c r="C104" i="25"/>
  <c r="A104" i="25"/>
  <c r="B104" i="25"/>
  <c r="D104" i="25"/>
  <c r="E104" i="25"/>
  <c r="F104" i="25"/>
  <c r="C105" i="25"/>
  <c r="A105" i="25"/>
  <c r="B105" i="25"/>
  <c r="D105" i="25"/>
  <c r="E105" i="25"/>
  <c r="F105" i="25"/>
  <c r="C106" i="25"/>
  <c r="A106" i="25"/>
  <c r="B106" i="25"/>
  <c r="D106" i="25"/>
  <c r="E106" i="25"/>
  <c r="F106" i="25"/>
  <c r="C107" i="25"/>
  <c r="A107" i="25"/>
  <c r="B107" i="25"/>
  <c r="D107" i="25"/>
  <c r="E107" i="25"/>
  <c r="F107" i="25"/>
  <c r="C108" i="25"/>
  <c r="A108" i="25"/>
  <c r="B108" i="25"/>
  <c r="D108" i="25"/>
  <c r="E108" i="25"/>
  <c r="F108" i="25"/>
  <c r="C109" i="25"/>
  <c r="A109" i="25"/>
  <c r="B109" i="25"/>
  <c r="D109" i="25"/>
  <c r="E109" i="25"/>
  <c r="F109" i="25"/>
  <c r="C110" i="25"/>
  <c r="A110" i="25"/>
  <c r="B110" i="25"/>
  <c r="D110" i="25"/>
  <c r="E110" i="25"/>
  <c r="F110" i="25"/>
  <c r="C111" i="25"/>
  <c r="A111" i="25"/>
  <c r="B111" i="25"/>
  <c r="D111" i="25"/>
  <c r="E111" i="25"/>
  <c r="F111" i="25"/>
  <c r="C112" i="25"/>
  <c r="A112" i="25"/>
  <c r="B112" i="25"/>
  <c r="D112" i="25"/>
  <c r="E112" i="25"/>
  <c r="F112" i="25"/>
  <c r="C113" i="25"/>
  <c r="A113" i="25"/>
  <c r="B113" i="25"/>
  <c r="D113" i="25"/>
  <c r="E113" i="25"/>
  <c r="F113" i="25"/>
  <c r="C114" i="25"/>
  <c r="A114" i="25"/>
  <c r="B114" i="25"/>
  <c r="D114" i="25"/>
  <c r="E114" i="25"/>
  <c r="F114" i="25"/>
  <c r="C114" i="27"/>
  <c r="A114" i="27"/>
  <c r="B114" i="27"/>
  <c r="D114" i="27"/>
  <c r="E114" i="27"/>
  <c r="F114" i="27"/>
  <c r="C109" i="27"/>
  <c r="A109" i="27"/>
  <c r="B109" i="27"/>
  <c r="D109" i="27"/>
  <c r="E109" i="27"/>
  <c r="F109" i="27"/>
  <c r="C110" i="27"/>
  <c r="A110" i="27"/>
  <c r="B110" i="27"/>
  <c r="D110" i="27"/>
  <c r="E110" i="27"/>
  <c r="F110" i="27"/>
  <c r="C111" i="27"/>
  <c r="A111" i="27"/>
  <c r="B111" i="27"/>
  <c r="D111" i="27"/>
  <c r="E111" i="27"/>
  <c r="F111" i="27"/>
  <c r="C112" i="27"/>
  <c r="A112" i="27"/>
  <c r="B112" i="27"/>
  <c r="D112" i="27"/>
  <c r="E112" i="27"/>
  <c r="F112" i="27"/>
  <c r="C113" i="27"/>
  <c r="A113" i="27"/>
  <c r="B113" i="27"/>
  <c r="D113" i="27"/>
  <c r="E113" i="27"/>
  <c r="F113" i="27"/>
  <c r="C87" i="27"/>
  <c r="A87" i="27"/>
  <c r="B87" i="27"/>
  <c r="D87" i="27"/>
  <c r="E87" i="27"/>
  <c r="F87" i="27"/>
  <c r="C88" i="27"/>
  <c r="A88" i="27"/>
  <c r="B88" i="27"/>
  <c r="D88" i="27"/>
  <c r="E88" i="27"/>
  <c r="F88" i="27"/>
  <c r="C89" i="27"/>
  <c r="A89" i="27"/>
  <c r="B89" i="27"/>
  <c r="D89" i="27"/>
  <c r="E89" i="27"/>
  <c r="F89" i="27"/>
  <c r="C90" i="27"/>
  <c r="A90" i="27"/>
  <c r="B90" i="27"/>
  <c r="D90" i="27"/>
  <c r="E90" i="27"/>
  <c r="F90" i="27"/>
  <c r="C91" i="27"/>
  <c r="A91" i="27"/>
  <c r="B91" i="27"/>
  <c r="D91" i="27"/>
  <c r="E91" i="27"/>
  <c r="F91" i="27"/>
  <c r="C92" i="27"/>
  <c r="A92" i="27"/>
  <c r="B92" i="27"/>
  <c r="D92" i="27"/>
  <c r="E92" i="27"/>
  <c r="F92" i="27"/>
  <c r="C93" i="27"/>
  <c r="A93" i="27"/>
  <c r="B93" i="27"/>
  <c r="D93" i="27"/>
  <c r="E93" i="27"/>
  <c r="F93" i="27"/>
  <c r="C94" i="27"/>
  <c r="A94" i="27"/>
  <c r="B94" i="27"/>
  <c r="D94" i="27"/>
  <c r="E94" i="27"/>
  <c r="F94" i="27"/>
  <c r="C95" i="27"/>
  <c r="A95" i="27"/>
  <c r="B95" i="27"/>
  <c r="D95" i="27"/>
  <c r="E95" i="27"/>
  <c r="F95" i="27"/>
  <c r="C96" i="27"/>
  <c r="A96" i="27"/>
  <c r="B96" i="27"/>
  <c r="D96" i="27"/>
  <c r="E96" i="27"/>
  <c r="F96" i="27"/>
  <c r="C97" i="27"/>
  <c r="A97" i="27"/>
  <c r="B97" i="27"/>
  <c r="D97" i="27"/>
  <c r="E97" i="27"/>
  <c r="F97" i="27"/>
  <c r="C98" i="27"/>
  <c r="A98" i="27"/>
  <c r="B98" i="27"/>
  <c r="D98" i="27"/>
  <c r="E98" i="27"/>
  <c r="F98" i="27"/>
  <c r="C99" i="27"/>
  <c r="A99" i="27"/>
  <c r="B99" i="27"/>
  <c r="D99" i="27"/>
  <c r="E99" i="27"/>
  <c r="F99" i="27"/>
  <c r="C100" i="27"/>
  <c r="A100" i="27"/>
  <c r="B100" i="27"/>
  <c r="D100" i="27"/>
  <c r="E100" i="27"/>
  <c r="F100" i="27"/>
  <c r="C101" i="27"/>
  <c r="A101" i="27"/>
  <c r="B101" i="27"/>
  <c r="D101" i="27"/>
  <c r="E101" i="27"/>
  <c r="F101" i="27"/>
  <c r="C102" i="27"/>
  <c r="A102" i="27"/>
  <c r="B102" i="27"/>
  <c r="D102" i="27"/>
  <c r="E102" i="27"/>
  <c r="F102" i="27"/>
  <c r="C103" i="27"/>
  <c r="A103" i="27"/>
  <c r="B103" i="27"/>
  <c r="D103" i="27"/>
  <c r="E103" i="27"/>
  <c r="F103" i="27"/>
  <c r="C104" i="27"/>
  <c r="A104" i="27"/>
  <c r="B104" i="27"/>
  <c r="D104" i="27"/>
  <c r="E104" i="27"/>
  <c r="F104" i="27"/>
  <c r="C105" i="27"/>
  <c r="A105" i="27"/>
  <c r="B105" i="27"/>
  <c r="D105" i="27"/>
  <c r="E105" i="27"/>
  <c r="F105" i="27"/>
  <c r="C106" i="27"/>
  <c r="A106" i="27"/>
  <c r="B106" i="27"/>
  <c r="D106" i="27"/>
  <c r="E106" i="27"/>
  <c r="F106" i="27"/>
  <c r="C107" i="27"/>
  <c r="A107" i="27"/>
  <c r="B107" i="27"/>
  <c r="D107" i="27"/>
  <c r="E107" i="27"/>
  <c r="F107" i="27"/>
  <c r="C108" i="27"/>
  <c r="A108" i="27"/>
  <c r="B108" i="27"/>
  <c r="D108" i="27"/>
  <c r="E108" i="27"/>
  <c r="F108" i="27"/>
  <c r="A88" i="29"/>
  <c r="A89" i="29"/>
  <c r="A90" i="29"/>
  <c r="A91" i="29"/>
  <c r="A92" i="29"/>
  <c r="A93" i="29"/>
  <c r="A94" i="29"/>
  <c r="A95" i="29"/>
  <c r="A96" i="29"/>
  <c r="A97" i="29"/>
  <c r="A98" i="29"/>
  <c r="A99" i="29"/>
  <c r="A100" i="29"/>
  <c r="A101" i="29"/>
  <c r="A102" i="29"/>
  <c r="A103" i="29"/>
  <c r="A104" i="29"/>
  <c r="A105" i="29"/>
  <c r="A106" i="29"/>
  <c r="A107" i="29"/>
  <c r="A108" i="29"/>
  <c r="A109" i="29"/>
  <c r="A110" i="29"/>
  <c r="A111" i="29"/>
  <c r="A112" i="29"/>
  <c r="A113" i="29"/>
  <c r="A114" i="29"/>
  <c r="A87" i="29"/>
  <c r="A88" i="30"/>
  <c r="A89" i="30"/>
  <c r="A90" i="30"/>
  <c r="A91" i="30"/>
  <c r="A92" i="30"/>
  <c r="A93" i="30"/>
  <c r="A94" i="30"/>
  <c r="A95" i="30"/>
  <c r="A96" i="30"/>
  <c r="A97" i="30"/>
  <c r="A98" i="30"/>
  <c r="A99" i="30"/>
  <c r="A100" i="30"/>
  <c r="A101" i="30"/>
  <c r="A102" i="30"/>
  <c r="A103" i="30"/>
  <c r="A104" i="30"/>
  <c r="A105" i="30"/>
  <c r="A106" i="30"/>
  <c r="A107" i="30"/>
  <c r="A108" i="30"/>
  <c r="A109" i="30"/>
  <c r="A110" i="30"/>
  <c r="A111" i="30"/>
  <c r="A112" i="30"/>
  <c r="A113" i="30"/>
  <c r="A114" i="30"/>
  <c r="A87" i="30"/>
  <c r="A88" i="32"/>
  <c r="A89" i="32"/>
  <c r="A90" i="32"/>
  <c r="A91" i="32"/>
  <c r="A92" i="32"/>
  <c r="A93" i="32"/>
  <c r="A94" i="32"/>
  <c r="A95" i="32"/>
  <c r="A96" i="32"/>
  <c r="A97" i="32"/>
  <c r="A98" i="32"/>
  <c r="A99" i="32"/>
  <c r="A100" i="32"/>
  <c r="A101" i="32"/>
  <c r="A102" i="32"/>
  <c r="A103" i="32"/>
  <c r="A104" i="32"/>
  <c r="A105" i="32"/>
  <c r="A106" i="32"/>
  <c r="A107" i="32"/>
  <c r="A108" i="32"/>
  <c r="A109" i="32"/>
  <c r="A110" i="32"/>
  <c r="A111" i="32"/>
  <c r="A112" i="32"/>
  <c r="A113" i="32"/>
  <c r="A114" i="32"/>
  <c r="A87" i="32"/>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87" i="31"/>
  <c r="A88" i="28"/>
  <c r="A89" i="28"/>
  <c r="A90" i="28"/>
  <c r="A91" i="28"/>
  <c r="A92" i="28"/>
  <c r="A93" i="28"/>
  <c r="A94" i="28"/>
  <c r="A95" i="28"/>
  <c r="A96" i="28"/>
  <c r="A97" i="28"/>
  <c r="A98" i="28"/>
  <c r="A99" i="28"/>
  <c r="A100" i="28"/>
  <c r="A101" i="28"/>
  <c r="A102" i="28"/>
  <c r="A103" i="28"/>
  <c r="A104" i="28"/>
  <c r="A105" i="28"/>
  <c r="A106" i="28"/>
  <c r="A107" i="28"/>
  <c r="A108" i="28"/>
  <c r="A109" i="28"/>
  <c r="A110" i="28"/>
  <c r="A111" i="28"/>
  <c r="A112" i="28"/>
  <c r="A113" i="28"/>
  <c r="A114" i="28"/>
  <c r="A87" i="28"/>
  <c r="E56" i="22"/>
  <c r="E56" i="23"/>
  <c r="B56" i="28"/>
  <c r="C26" i="9"/>
  <c r="L48" i="12"/>
  <c r="C36" i="9"/>
  <c r="L49" i="12"/>
  <c r="B49" i="9"/>
  <c r="B46" i="9"/>
  <c r="B45" i="9"/>
  <c r="B42" i="9"/>
  <c r="B43" i="9"/>
  <c r="B32" i="11"/>
  <c r="H219" i="11"/>
  <c r="H218" i="11"/>
  <c r="H217" i="11"/>
  <c r="H216" i="11"/>
  <c r="H215" i="11"/>
  <c r="H214" i="11"/>
  <c r="H213" i="11"/>
  <c r="H212" i="11"/>
  <c r="H211" i="11"/>
  <c r="H210" i="11"/>
  <c r="H209" i="11"/>
  <c r="H208" i="11"/>
  <c r="H207" i="11"/>
  <c r="H206" i="11"/>
  <c r="H205" i="11"/>
  <c r="H204" i="11"/>
  <c r="H203" i="11"/>
  <c r="H202" i="11"/>
  <c r="H201" i="11"/>
  <c r="H200" i="11"/>
  <c r="H199" i="11"/>
  <c r="H198" i="11"/>
  <c r="H197" i="11"/>
  <c r="H196" i="11"/>
  <c r="H195" i="11"/>
  <c r="H194" i="11"/>
  <c r="H193" i="11"/>
  <c r="H192" i="11"/>
  <c r="H191" i="11"/>
  <c r="H190" i="11"/>
  <c r="H189" i="11"/>
  <c r="H188" i="11"/>
  <c r="H187" i="11"/>
  <c r="H186" i="11"/>
  <c r="H185" i="11"/>
  <c r="H184" i="11"/>
  <c r="H183" i="11"/>
  <c r="H182" i="11"/>
  <c r="H181" i="11"/>
  <c r="H180" i="11"/>
  <c r="H179" i="11"/>
  <c r="H178" i="11"/>
  <c r="H177" i="11"/>
  <c r="H176" i="11"/>
  <c r="H175" i="11"/>
  <c r="H174" i="11"/>
  <c r="H173" i="11"/>
  <c r="H172" i="11"/>
  <c r="H171" i="11"/>
  <c r="H170" i="11"/>
  <c r="H169" i="11"/>
  <c r="H168" i="11"/>
  <c r="H167" i="11"/>
  <c r="H166" i="11"/>
  <c r="H165" i="11"/>
  <c r="H164" i="11"/>
  <c r="H163" i="11"/>
  <c r="H162" i="11"/>
  <c r="H161" i="11"/>
  <c r="H160" i="11"/>
  <c r="H159" i="11"/>
  <c r="H158" i="11"/>
  <c r="H157" i="11"/>
  <c r="H156" i="11"/>
  <c r="H155" i="11"/>
  <c r="H154" i="11"/>
  <c r="H153" i="11"/>
  <c r="H152" i="11"/>
  <c r="H151" i="11"/>
  <c r="H150" i="11"/>
  <c r="H149" i="11"/>
  <c r="H148" i="11"/>
  <c r="H147" i="11"/>
  <c r="H146" i="11"/>
  <c r="H145" i="11"/>
  <c r="H144" i="11"/>
  <c r="H143" i="11"/>
  <c r="H142" i="11"/>
  <c r="H141" i="11"/>
  <c r="H140" i="11"/>
  <c r="H139" i="11"/>
  <c r="H138" i="11"/>
  <c r="H137" i="11"/>
  <c r="H136" i="11"/>
  <c r="H135" i="11"/>
  <c r="H134" i="11"/>
  <c r="H133" i="11"/>
  <c r="H132" i="11"/>
  <c r="H131" i="11"/>
  <c r="H130" i="11"/>
  <c r="H129" i="11"/>
  <c r="H128" i="11"/>
  <c r="H127" i="11"/>
  <c r="H126" i="11"/>
  <c r="H125" i="11"/>
  <c r="H124" i="11"/>
  <c r="H123" i="11"/>
  <c r="H122" i="11"/>
  <c r="H121" i="11"/>
  <c r="H120" i="11"/>
  <c r="H119" i="11"/>
  <c r="H118" i="11"/>
  <c r="H117" i="11"/>
  <c r="H116" i="11"/>
  <c r="H115" i="11"/>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B5" i="12"/>
  <c r="B4" i="12"/>
  <c r="B36" i="9"/>
  <c r="EL4" i="28"/>
  <c r="DZ4" i="28"/>
  <c r="DN4" i="28"/>
  <c r="DB4" i="28"/>
  <c r="BR4" i="28"/>
  <c r="BF4" i="28"/>
  <c r="AT4" i="28"/>
  <c r="B11" i="11"/>
  <c r="B24" i="11"/>
  <c r="B3" i="12"/>
  <c r="K9" i="12"/>
  <c r="C9" i="12"/>
  <c r="D55" i="11"/>
  <c r="B50" i="11"/>
  <c r="B41" i="11"/>
  <c r="B40" i="11"/>
  <c r="B30" i="11"/>
  <c r="B28" i="11"/>
  <c r="B27" i="11"/>
  <c r="B34" i="11"/>
  <c r="B42" i="11"/>
  <c r="B38" i="11"/>
  <c r="C54" i="11"/>
  <c r="C57" i="11"/>
  <c r="I10" i="11"/>
  <c r="C55" i="11"/>
  <c r="B46" i="11"/>
  <c r="B87" i="28"/>
  <c r="B88" i="28"/>
  <c r="B89" i="28"/>
  <c r="D89" i="28"/>
  <c r="B90" i="28"/>
  <c r="B91" i="28"/>
  <c r="B92" i="28"/>
  <c r="B93" i="28"/>
  <c r="B94" i="28"/>
  <c r="B95" i="28"/>
  <c r="B96" i="28"/>
  <c r="D96" i="28"/>
  <c r="B97" i="28"/>
  <c r="B98" i="28"/>
  <c r="B99" i="28"/>
  <c r="B100" i="28"/>
  <c r="D100" i="28"/>
  <c r="B101" i="28"/>
  <c r="B102" i="28"/>
  <c r="B103" i="28"/>
  <c r="B104" i="28"/>
  <c r="B105" i="28"/>
  <c r="B106" i="28"/>
  <c r="B107" i="28"/>
  <c r="D107" i="28"/>
  <c r="B108" i="28"/>
  <c r="B109" i="28"/>
  <c r="B110" i="28"/>
  <c r="B111" i="28"/>
  <c r="B112" i="28"/>
  <c r="B113" i="28"/>
  <c r="B114" i="28"/>
  <c r="C114" i="29"/>
  <c r="G114" i="29"/>
  <c r="K114" i="29"/>
  <c r="C113" i="29"/>
  <c r="G113" i="29"/>
  <c r="K113" i="29"/>
  <c r="C112" i="29"/>
  <c r="G112" i="29"/>
  <c r="K112" i="29"/>
  <c r="C111" i="29"/>
  <c r="G111" i="29"/>
  <c r="K111" i="29"/>
  <c r="C110" i="29"/>
  <c r="G110" i="29"/>
  <c r="K110" i="29"/>
  <c r="C109" i="29"/>
  <c r="G109" i="29"/>
  <c r="K109" i="29"/>
  <c r="C108" i="29"/>
  <c r="G108" i="29"/>
  <c r="K108" i="29"/>
  <c r="C107" i="29"/>
  <c r="G107" i="29"/>
  <c r="K107" i="29"/>
  <c r="C106" i="29"/>
  <c r="G106" i="29"/>
  <c r="K106" i="29"/>
  <c r="C105" i="29"/>
  <c r="G105" i="29"/>
  <c r="K105" i="29"/>
  <c r="C104" i="29"/>
  <c r="G104" i="29"/>
  <c r="K104" i="29"/>
  <c r="C103" i="29"/>
  <c r="G103" i="29"/>
  <c r="K103" i="29"/>
  <c r="C102" i="29"/>
  <c r="G102" i="29"/>
  <c r="K102" i="29"/>
  <c r="C101" i="29"/>
  <c r="G101" i="29"/>
  <c r="K101" i="29"/>
  <c r="C100" i="29"/>
  <c r="G100" i="29"/>
  <c r="K100" i="29"/>
  <c r="C99" i="29"/>
  <c r="G99" i="29"/>
  <c r="K99" i="29"/>
  <c r="C98" i="29"/>
  <c r="G98" i="29"/>
  <c r="K98" i="29"/>
  <c r="C97" i="29"/>
  <c r="G97" i="29"/>
  <c r="K97" i="29"/>
  <c r="C96" i="29"/>
  <c r="G96" i="29"/>
  <c r="K96" i="29"/>
  <c r="C95" i="29"/>
  <c r="G95" i="29"/>
  <c r="K95" i="29"/>
  <c r="C94" i="29"/>
  <c r="G94" i="29"/>
  <c r="K94" i="29"/>
  <c r="C93" i="29"/>
  <c r="G93" i="29"/>
  <c r="K93" i="29"/>
  <c r="C92" i="29"/>
  <c r="G92" i="29"/>
  <c r="K92" i="29"/>
  <c r="C91" i="29"/>
  <c r="G91" i="29"/>
  <c r="K91" i="29"/>
  <c r="C90" i="29"/>
  <c r="G90" i="29"/>
  <c r="K90" i="29"/>
  <c r="C89" i="29"/>
  <c r="G89" i="29"/>
  <c r="K89" i="29"/>
  <c r="C88" i="29"/>
  <c r="G88" i="29"/>
  <c r="K88" i="29"/>
  <c r="C87" i="29"/>
  <c r="G87" i="29"/>
  <c r="K87" i="29"/>
  <c r="B109" i="31"/>
  <c r="G109" i="31"/>
  <c r="D109" i="28"/>
  <c r="B101" i="31"/>
  <c r="G101" i="31"/>
  <c r="D101" i="28"/>
  <c r="B112" i="31"/>
  <c r="G112" i="31"/>
  <c r="D112" i="28"/>
  <c r="B108" i="31"/>
  <c r="G108" i="31"/>
  <c r="D108" i="28"/>
  <c r="B104" i="31"/>
  <c r="G104" i="31"/>
  <c r="D104" i="28"/>
  <c r="B92" i="31"/>
  <c r="G92" i="31"/>
  <c r="D92" i="28"/>
  <c r="B88" i="31"/>
  <c r="G88" i="31"/>
  <c r="D88" i="28"/>
  <c r="B103" i="31"/>
  <c r="G103" i="31"/>
  <c r="D103" i="28"/>
  <c r="B99" i="31"/>
  <c r="G99" i="31"/>
  <c r="D99" i="28"/>
  <c r="B95" i="31"/>
  <c r="G95" i="31"/>
  <c r="D95" i="28"/>
  <c r="B91" i="31"/>
  <c r="G91" i="31"/>
  <c r="D91" i="28"/>
  <c r="B87" i="31"/>
  <c r="G87" i="31"/>
  <c r="D87" i="28"/>
  <c r="B114" i="31"/>
  <c r="G114" i="31"/>
  <c r="D114" i="28"/>
  <c r="B110" i="31"/>
  <c r="G110" i="31"/>
  <c r="D110" i="28"/>
  <c r="B106" i="31"/>
  <c r="G106" i="31"/>
  <c r="D106" i="28"/>
  <c r="B102" i="31"/>
  <c r="G102" i="31"/>
  <c r="D102" i="28"/>
  <c r="B98" i="31"/>
  <c r="G98" i="31"/>
  <c r="D98" i="28"/>
  <c r="B94" i="31"/>
  <c r="G94" i="31"/>
  <c r="D94" i="28"/>
  <c r="B90" i="31"/>
  <c r="G90" i="31"/>
  <c r="D90" i="28"/>
  <c r="B113" i="31"/>
  <c r="G113" i="31"/>
  <c r="D113" i="28"/>
  <c r="B105" i="31"/>
  <c r="G105" i="31"/>
  <c r="D105" i="28"/>
  <c r="B97" i="31"/>
  <c r="G97" i="31"/>
  <c r="D97" i="28"/>
  <c r="B93" i="31"/>
  <c r="G93" i="31"/>
  <c r="D93" i="28"/>
  <c r="B111" i="31"/>
  <c r="G111" i="31"/>
  <c r="D111" i="28"/>
  <c r="J100" i="28"/>
  <c r="C100" i="30"/>
  <c r="G100" i="30"/>
  <c r="B100" i="31"/>
  <c r="G100" i="31"/>
  <c r="B107" i="31"/>
  <c r="G107" i="31"/>
  <c r="B89" i="31"/>
  <c r="G89" i="31"/>
  <c r="B96" i="31"/>
  <c r="G96" i="31"/>
  <c r="J101" i="28"/>
  <c r="C101" i="30"/>
  <c r="G101" i="30"/>
  <c r="M101" i="31"/>
  <c r="M108" i="31"/>
  <c r="M92" i="31"/>
  <c r="J99" i="28"/>
  <c r="C99" i="30"/>
  <c r="G99" i="30"/>
  <c r="M99" i="31"/>
  <c r="J91" i="28"/>
  <c r="M91" i="31"/>
  <c r="J98" i="28"/>
  <c r="C98" i="30"/>
  <c r="G98" i="30"/>
  <c r="M98" i="31"/>
  <c r="J90" i="28"/>
  <c r="C90" i="30"/>
  <c r="G90" i="30"/>
  <c r="M90" i="31"/>
  <c r="J112" i="28"/>
  <c r="M112" i="31"/>
  <c r="M104" i="31"/>
  <c r="J96" i="28"/>
  <c r="C96" i="30"/>
  <c r="G96" i="30"/>
  <c r="M96" i="31"/>
  <c r="M88" i="31"/>
  <c r="J111" i="28"/>
  <c r="C111" i="30"/>
  <c r="G111" i="30"/>
  <c r="M111" i="31"/>
  <c r="J103" i="28"/>
  <c r="C103" i="30"/>
  <c r="G103" i="30"/>
  <c r="M103" i="31"/>
  <c r="J95" i="28"/>
  <c r="C95" i="30"/>
  <c r="G95" i="30"/>
  <c r="M95" i="31"/>
  <c r="J87" i="28"/>
  <c r="C87" i="30"/>
  <c r="G87" i="30"/>
  <c r="M87" i="31"/>
  <c r="J108" i="28"/>
  <c r="C108" i="30"/>
  <c r="G108" i="30"/>
  <c r="J110" i="28"/>
  <c r="C110" i="30"/>
  <c r="G110" i="30"/>
  <c r="M110" i="31"/>
  <c r="J102" i="28"/>
  <c r="C102" i="30"/>
  <c r="G102" i="30"/>
  <c r="M102" i="31"/>
  <c r="J94" i="28"/>
  <c r="C94" i="30"/>
  <c r="G94" i="30"/>
  <c r="M94" i="31"/>
  <c r="M109" i="31"/>
  <c r="M93" i="31"/>
  <c r="M100" i="31"/>
  <c r="J107" i="28"/>
  <c r="C107" i="30"/>
  <c r="G107" i="30"/>
  <c r="M107" i="31"/>
  <c r="J114" i="28"/>
  <c r="C114" i="30"/>
  <c r="G114" i="30"/>
  <c r="M114" i="31"/>
  <c r="J106" i="28"/>
  <c r="C106" i="30"/>
  <c r="G106" i="30"/>
  <c r="M106" i="31"/>
  <c r="M113" i="31"/>
  <c r="J105" i="28"/>
  <c r="C105" i="30"/>
  <c r="G105" i="30"/>
  <c r="M105" i="31"/>
  <c r="M97" i="31"/>
  <c r="J89" i="28"/>
  <c r="M89" i="31"/>
  <c r="J113" i="28"/>
  <c r="C113" i="30"/>
  <c r="G113" i="30"/>
  <c r="J109" i="28"/>
  <c r="C109" i="30"/>
  <c r="G109" i="30"/>
  <c r="J97" i="28"/>
  <c r="C97" i="30"/>
  <c r="G97" i="30"/>
  <c r="J93" i="28"/>
  <c r="C93" i="30"/>
  <c r="G93" i="30"/>
  <c r="J104" i="28"/>
  <c r="C104" i="30"/>
  <c r="G104" i="30"/>
  <c r="J88" i="28"/>
  <c r="J92" i="28"/>
  <c r="C15" i="28"/>
  <c r="E15" i="28"/>
  <c r="K15" i="28"/>
  <c r="T15" i="28"/>
  <c r="U15" i="28"/>
  <c r="C16" i="28"/>
  <c r="E16" i="28"/>
  <c r="K16" i="28"/>
  <c r="T16" i="28"/>
  <c r="U16" i="28"/>
  <c r="C17" i="28"/>
  <c r="E17" i="28"/>
  <c r="K17" i="28"/>
  <c r="T17" i="28"/>
  <c r="U17" i="28"/>
  <c r="C18" i="28"/>
  <c r="E18" i="28"/>
  <c r="K18" i="28"/>
  <c r="T18" i="28"/>
  <c r="U18" i="28"/>
  <c r="C19" i="28"/>
  <c r="E19" i="28"/>
  <c r="K19" i="28"/>
  <c r="T19" i="28"/>
  <c r="U19" i="28"/>
  <c r="C20" i="28"/>
  <c r="E20" i="28"/>
  <c r="K20" i="28"/>
  <c r="T20" i="28"/>
  <c r="U20" i="28"/>
  <c r="C21" i="28"/>
  <c r="E21" i="28"/>
  <c r="K21" i="28"/>
  <c r="T21" i="28"/>
  <c r="U21" i="28"/>
  <c r="C22" i="28"/>
  <c r="E22" i="28"/>
  <c r="K22" i="28"/>
  <c r="T22" i="28"/>
  <c r="U22" i="28"/>
  <c r="C23" i="28"/>
  <c r="E23" i="28"/>
  <c r="K23" i="28"/>
  <c r="T23" i="28"/>
  <c r="U23" i="28"/>
  <c r="C24" i="28"/>
  <c r="E24" i="28"/>
  <c r="K24" i="28"/>
  <c r="T24" i="28"/>
  <c r="U24" i="28"/>
  <c r="C25" i="28"/>
  <c r="E25" i="28"/>
  <c r="K25" i="28"/>
  <c r="T25" i="28"/>
  <c r="U25" i="28"/>
  <c r="C26" i="28"/>
  <c r="K26" i="28"/>
  <c r="T26" i="28"/>
  <c r="U26" i="28"/>
  <c r="C27" i="28"/>
  <c r="E27" i="28"/>
  <c r="K27" i="28"/>
  <c r="T27" i="28"/>
  <c r="U27" i="28"/>
  <c r="C28" i="28"/>
  <c r="E28" i="28"/>
  <c r="K28" i="28"/>
  <c r="T28" i="28"/>
  <c r="U28" i="28"/>
  <c r="C29" i="28"/>
  <c r="E29" i="28"/>
  <c r="K29" i="28"/>
  <c r="T29" i="28"/>
  <c r="U29" i="28"/>
  <c r="C30" i="28"/>
  <c r="E30" i="28"/>
  <c r="K30" i="28"/>
  <c r="T30" i="28"/>
  <c r="U30" i="28"/>
  <c r="C31" i="28"/>
  <c r="E31" i="28"/>
  <c r="K31" i="28"/>
  <c r="T31" i="28"/>
  <c r="U31" i="28"/>
  <c r="C32" i="28"/>
  <c r="E32" i="28"/>
  <c r="K32" i="28"/>
  <c r="T32" i="28"/>
  <c r="U32" i="28"/>
  <c r="C33" i="28"/>
  <c r="E33" i="28"/>
  <c r="K33" i="28"/>
  <c r="T33" i="28"/>
  <c r="U33" i="28"/>
  <c r="C34" i="28"/>
  <c r="E34" i="28"/>
  <c r="K34" i="28"/>
  <c r="T34" i="28"/>
  <c r="U34" i="28"/>
  <c r="C35" i="28"/>
  <c r="E35" i="28"/>
  <c r="K35" i="28"/>
  <c r="T35" i="28"/>
  <c r="U35" i="28"/>
  <c r="C36" i="28"/>
  <c r="E36" i="28"/>
  <c r="K36" i="28"/>
  <c r="T36" i="28"/>
  <c r="U36" i="28"/>
  <c r="C37" i="28"/>
  <c r="E37" i="28"/>
  <c r="K37" i="28"/>
  <c r="T37" i="28"/>
  <c r="U37" i="28"/>
  <c r="C38" i="28"/>
  <c r="K38" i="28"/>
  <c r="T38" i="28"/>
  <c r="U38" i="28"/>
  <c r="C39" i="28"/>
  <c r="E39" i="28"/>
  <c r="K39" i="28"/>
  <c r="T39" i="28"/>
  <c r="U39" i="28"/>
  <c r="C40" i="28"/>
  <c r="E40" i="28"/>
  <c r="K40" i="28"/>
  <c r="T40" i="28"/>
  <c r="U40" i="28"/>
  <c r="C41" i="28"/>
  <c r="E41" i="28"/>
  <c r="K41" i="28"/>
  <c r="T41" i="28"/>
  <c r="U41" i="28"/>
  <c r="C42" i="28"/>
  <c r="E42" i="28"/>
  <c r="K42" i="28"/>
  <c r="T42" i="28"/>
  <c r="U42" i="28"/>
  <c r="C43" i="28"/>
  <c r="E43" i="28"/>
  <c r="K43" i="28"/>
  <c r="T43" i="28"/>
  <c r="U43" i="28"/>
  <c r="C44" i="28"/>
  <c r="E44" i="28"/>
  <c r="K44" i="28"/>
  <c r="T44" i="28"/>
  <c r="U44" i="28"/>
  <c r="C45" i="28"/>
  <c r="E45" i="28"/>
  <c r="K45" i="28"/>
  <c r="T45" i="28"/>
  <c r="U45" i="28"/>
  <c r="C46" i="28"/>
  <c r="E46" i="28"/>
  <c r="K46" i="28"/>
  <c r="T46" i="28"/>
  <c r="U46" i="28"/>
  <c r="C47" i="28"/>
  <c r="E47" i="28"/>
  <c r="K47" i="28"/>
  <c r="T47" i="28"/>
  <c r="U47" i="28"/>
  <c r="C48" i="28"/>
  <c r="E48" i="28"/>
  <c r="K48" i="28"/>
  <c r="T48" i="28"/>
  <c r="U48" i="28"/>
  <c r="C49" i="28"/>
  <c r="E49" i="28"/>
  <c r="K49" i="28"/>
  <c r="T49" i="28"/>
  <c r="U49" i="28"/>
  <c r="C50" i="28"/>
  <c r="E50" i="28"/>
  <c r="K50" i="28"/>
  <c r="T50" i="28"/>
  <c r="U50" i="28"/>
  <c r="C51" i="28"/>
  <c r="E51" i="28"/>
  <c r="K51" i="28"/>
  <c r="T51" i="28"/>
  <c r="U51" i="28"/>
  <c r="C52" i="28"/>
  <c r="E52" i="28"/>
  <c r="K52" i="28"/>
  <c r="T52" i="28"/>
  <c r="U52" i="28"/>
  <c r="C53" i="28"/>
  <c r="E53" i="28"/>
  <c r="K53" i="28"/>
  <c r="T53" i="28"/>
  <c r="U53" i="28"/>
  <c r="C54" i="28"/>
  <c r="E54" i="28"/>
  <c r="K54" i="28"/>
  <c r="T54" i="28"/>
  <c r="U54" i="28"/>
  <c r="C55" i="28"/>
  <c r="E55" i="28"/>
  <c r="K55" i="28"/>
  <c r="T55" i="28"/>
  <c r="U55" i="28"/>
  <c r="C56" i="28"/>
  <c r="E56" i="28"/>
  <c r="K56" i="28"/>
  <c r="T56" i="28"/>
  <c r="U56" i="28"/>
  <c r="C57" i="28"/>
  <c r="E57" i="28"/>
  <c r="K57" i="28"/>
  <c r="T57" i="28"/>
  <c r="U57" i="28"/>
  <c r="C58" i="28"/>
  <c r="E58" i="28"/>
  <c r="K58" i="28"/>
  <c r="T58" i="28"/>
  <c r="U58" i="28"/>
  <c r="C59" i="28"/>
  <c r="E59" i="28"/>
  <c r="K59" i="28"/>
  <c r="T59" i="28"/>
  <c r="U59" i="28"/>
  <c r="C60" i="28"/>
  <c r="E60" i="28"/>
  <c r="K60" i="28"/>
  <c r="T60" i="28"/>
  <c r="U60" i="28"/>
  <c r="C61" i="28"/>
  <c r="K61" i="28"/>
  <c r="T61" i="28"/>
  <c r="U61" i="28"/>
  <c r="C62" i="28"/>
  <c r="E62" i="28"/>
  <c r="K62" i="28"/>
  <c r="T62" i="28"/>
  <c r="U62" i="28"/>
  <c r="C63" i="28"/>
  <c r="E63" i="28"/>
  <c r="K63" i="28"/>
  <c r="T63" i="28"/>
  <c r="U63" i="28"/>
  <c r="C64" i="28"/>
  <c r="E64" i="28"/>
  <c r="K64" i="28"/>
  <c r="T64" i="28"/>
  <c r="U64" i="28"/>
  <c r="C65" i="28"/>
  <c r="E65" i="28"/>
  <c r="K65" i="28"/>
  <c r="T65" i="28"/>
  <c r="U65" i="28"/>
  <c r="C66" i="28"/>
  <c r="E66" i="28"/>
  <c r="K66" i="28"/>
  <c r="T66" i="28"/>
  <c r="U66" i="28"/>
  <c r="C67" i="28"/>
  <c r="E67" i="28"/>
  <c r="K67" i="28"/>
  <c r="T67" i="28"/>
  <c r="U67" i="28"/>
  <c r="C68" i="28"/>
  <c r="E68" i="28"/>
  <c r="K68" i="28"/>
  <c r="T68" i="28"/>
  <c r="U68" i="28"/>
  <c r="C69" i="28"/>
  <c r="E69" i="28"/>
  <c r="K69" i="28"/>
  <c r="T69" i="28"/>
  <c r="U69" i="28"/>
  <c r="C70" i="28"/>
  <c r="K70" i="28"/>
  <c r="T70" i="28"/>
  <c r="U70" i="28"/>
  <c r="C71" i="28"/>
  <c r="E71" i="28"/>
  <c r="K71" i="28"/>
  <c r="T71" i="28"/>
  <c r="U71" i="28"/>
  <c r="C72" i="28"/>
  <c r="E72" i="28"/>
  <c r="K72" i="28"/>
  <c r="T72" i="28"/>
  <c r="U72" i="28"/>
  <c r="C73" i="28"/>
  <c r="E73" i="28"/>
  <c r="K73" i="28"/>
  <c r="T73" i="28"/>
  <c r="U73" i="28"/>
  <c r="C74" i="28"/>
  <c r="E74" i="28"/>
  <c r="K74" i="28"/>
  <c r="T74" i="28"/>
  <c r="U74" i="28"/>
  <c r="C75" i="28"/>
  <c r="E75" i="28"/>
  <c r="K75" i="28"/>
  <c r="T75" i="28"/>
  <c r="U75" i="28"/>
  <c r="C76" i="28"/>
  <c r="E76" i="28"/>
  <c r="K76" i="28"/>
  <c r="T76" i="28"/>
  <c r="U76" i="28"/>
  <c r="C77" i="28"/>
  <c r="E77" i="28"/>
  <c r="K77" i="28"/>
  <c r="T77" i="28"/>
  <c r="U77" i="28"/>
  <c r="C78" i="28"/>
  <c r="E78" i="28"/>
  <c r="K78" i="28"/>
  <c r="T78" i="28"/>
  <c r="U78" i="28"/>
  <c r="C79" i="28"/>
  <c r="K79" i="28"/>
  <c r="T79" i="28"/>
  <c r="U79" i="28"/>
  <c r="C80" i="28"/>
  <c r="E80" i="28"/>
  <c r="K80" i="28"/>
  <c r="T80" i="28"/>
  <c r="U80" i="28"/>
  <c r="C81" i="28"/>
  <c r="E81" i="28"/>
  <c r="K81" i="28"/>
  <c r="T81" i="28"/>
  <c r="U81" i="28"/>
  <c r="C82" i="28"/>
  <c r="E82" i="28"/>
  <c r="K82" i="28"/>
  <c r="T82" i="28"/>
  <c r="U82" i="28"/>
  <c r="C83" i="28"/>
  <c r="E83" i="28"/>
  <c r="K83" i="28"/>
  <c r="T83" i="28"/>
  <c r="U83" i="28"/>
  <c r="C84" i="28"/>
  <c r="E84" i="28"/>
  <c r="K84" i="28"/>
  <c r="T84" i="28"/>
  <c r="U84" i="28"/>
  <c r="C85" i="28"/>
  <c r="E85" i="28"/>
  <c r="K85" i="28"/>
  <c r="T85" i="28"/>
  <c r="U85" i="28"/>
  <c r="C86" i="28"/>
  <c r="E86" i="28"/>
  <c r="K86" i="28"/>
  <c r="T86" i="28"/>
  <c r="U86" i="28"/>
  <c r="C87" i="28"/>
  <c r="E87" i="28"/>
  <c r="K87" i="28"/>
  <c r="R87" i="28"/>
  <c r="T87" i="28"/>
  <c r="U87" i="28"/>
  <c r="C88" i="28"/>
  <c r="E88" i="28"/>
  <c r="K88" i="28"/>
  <c r="R88" i="28"/>
  <c r="T88" i="28"/>
  <c r="U88" i="28"/>
  <c r="C89" i="28"/>
  <c r="E89" i="28"/>
  <c r="K89" i="28"/>
  <c r="R89" i="28"/>
  <c r="T89" i="28"/>
  <c r="U89" i="28"/>
  <c r="C90" i="28"/>
  <c r="E90" i="28"/>
  <c r="K90" i="28"/>
  <c r="R90" i="28"/>
  <c r="T90" i="28"/>
  <c r="U90" i="28"/>
  <c r="C91" i="28"/>
  <c r="E91" i="28"/>
  <c r="K91" i="28"/>
  <c r="R91" i="28"/>
  <c r="T91" i="28"/>
  <c r="U91" i="28"/>
  <c r="C92" i="28"/>
  <c r="E92" i="28"/>
  <c r="K92" i="28"/>
  <c r="R92" i="28"/>
  <c r="T92" i="28"/>
  <c r="U92" i="28"/>
  <c r="C93" i="28"/>
  <c r="E93" i="28"/>
  <c r="K93" i="28"/>
  <c r="R93" i="28"/>
  <c r="T93" i="28"/>
  <c r="U93" i="28"/>
  <c r="C94" i="28"/>
  <c r="E94" i="28"/>
  <c r="K94" i="28"/>
  <c r="R94" i="28"/>
  <c r="T94" i="28"/>
  <c r="U94" i="28"/>
  <c r="C95" i="28"/>
  <c r="E95" i="28"/>
  <c r="K95" i="28"/>
  <c r="R95" i="28"/>
  <c r="T95" i="28"/>
  <c r="U95" i="28"/>
  <c r="C96" i="28"/>
  <c r="E96" i="28"/>
  <c r="K96" i="28"/>
  <c r="R96" i="28"/>
  <c r="T96" i="28"/>
  <c r="U96" i="28"/>
  <c r="C97" i="28"/>
  <c r="E97" i="28"/>
  <c r="K97" i="28"/>
  <c r="R97" i="28"/>
  <c r="T97" i="28"/>
  <c r="U97" i="28"/>
  <c r="C98" i="28"/>
  <c r="E98" i="28"/>
  <c r="K98" i="28"/>
  <c r="R98" i="28"/>
  <c r="T98" i="28"/>
  <c r="U98" i="28"/>
  <c r="C99" i="28"/>
  <c r="K99" i="28"/>
  <c r="R99" i="28"/>
  <c r="T99" i="28"/>
  <c r="U99" i="28"/>
  <c r="C100" i="28"/>
  <c r="K100" i="28"/>
  <c r="R100" i="28"/>
  <c r="T100" i="28"/>
  <c r="U100" i="28"/>
  <c r="C101" i="28"/>
  <c r="K101" i="28"/>
  <c r="R101" i="28"/>
  <c r="T101" i="28"/>
  <c r="U101" i="28"/>
  <c r="C102" i="28"/>
  <c r="K102" i="28"/>
  <c r="R102" i="28"/>
  <c r="T102" i="28"/>
  <c r="U102" i="28"/>
  <c r="C103" i="28"/>
  <c r="K103" i="28"/>
  <c r="R103" i="28"/>
  <c r="T103" i="28"/>
  <c r="U103" i="28"/>
  <c r="C104" i="28"/>
  <c r="K104" i="28"/>
  <c r="R104" i="28"/>
  <c r="T104" i="28"/>
  <c r="U104" i="28"/>
  <c r="C105" i="28"/>
  <c r="K105" i="28"/>
  <c r="R105" i="28"/>
  <c r="T105" i="28"/>
  <c r="U105" i="28"/>
  <c r="C106" i="28"/>
  <c r="K106" i="28"/>
  <c r="R106" i="28"/>
  <c r="T106" i="28"/>
  <c r="U106" i="28"/>
  <c r="C107" i="28"/>
  <c r="K107" i="28"/>
  <c r="R107" i="28"/>
  <c r="T107" i="28"/>
  <c r="U107" i="28"/>
  <c r="C108" i="28"/>
  <c r="K108" i="28"/>
  <c r="R108" i="28"/>
  <c r="T108" i="28"/>
  <c r="U108" i="28"/>
  <c r="C109" i="28"/>
  <c r="K109" i="28"/>
  <c r="R109" i="28"/>
  <c r="T109" i="28"/>
  <c r="U109" i="28"/>
  <c r="C110" i="28"/>
  <c r="K110" i="28"/>
  <c r="R110" i="28"/>
  <c r="T110" i="28"/>
  <c r="U110" i="28"/>
  <c r="C111" i="28"/>
  <c r="E111" i="28"/>
  <c r="K111" i="28"/>
  <c r="R111" i="28"/>
  <c r="T111" i="28"/>
  <c r="U111" i="28"/>
  <c r="C112" i="28"/>
  <c r="K112" i="28"/>
  <c r="R112" i="28"/>
  <c r="T112" i="28"/>
  <c r="U112" i="28"/>
  <c r="C113" i="28"/>
  <c r="K113" i="28"/>
  <c r="R113" i="28"/>
  <c r="T113" i="28"/>
  <c r="U113" i="28"/>
  <c r="C114" i="28"/>
  <c r="E114" i="28"/>
  <c r="K114" i="28"/>
  <c r="R114" i="28"/>
  <c r="T114" i="28"/>
  <c r="U114" i="28"/>
  <c r="EL5" i="28"/>
  <c r="EL6" i="28"/>
  <c r="EL7" i="28"/>
  <c r="EL8" i="28"/>
  <c r="EL9" i="28"/>
  <c r="EL10" i="28"/>
  <c r="EL11" i="28"/>
  <c r="EL12" i="28"/>
  <c r="EL13" i="28"/>
  <c r="EL14" i="28"/>
  <c r="EL15" i="28"/>
  <c r="EL16" i="28"/>
  <c r="EL17" i="28"/>
  <c r="EL18" i="28"/>
  <c r="DZ5" i="28"/>
  <c r="DN5" i="28"/>
  <c r="DB5" i="28"/>
  <c r="DB6" i="28"/>
  <c r="DB7" i="28"/>
  <c r="DB8" i="28"/>
  <c r="DB9" i="28"/>
  <c r="DB10" i="28"/>
  <c r="DB11" i="28"/>
  <c r="DB12" i="28"/>
  <c r="DB13" i="28"/>
  <c r="DB14" i="28"/>
  <c r="DB15" i="28"/>
  <c r="DB16" i="28"/>
  <c r="DB17" i="28"/>
  <c r="DB18" i="28"/>
  <c r="DB19" i="28"/>
  <c r="BR5" i="28"/>
  <c r="BR6" i="28"/>
  <c r="BR7" i="28"/>
  <c r="BR8" i="28"/>
  <c r="BR9" i="28"/>
  <c r="BR10" i="28"/>
  <c r="BR11" i="28"/>
  <c r="BR12" i="28"/>
  <c r="BR13" i="28"/>
  <c r="BR14" i="28"/>
  <c r="BR15" i="28"/>
  <c r="BR16" i="28"/>
  <c r="BR17" i="28"/>
  <c r="BR18" i="28"/>
  <c r="BR19" i="28"/>
  <c r="BR20" i="28"/>
  <c r="BR21" i="28"/>
  <c r="BR22" i="28"/>
  <c r="BR23" i="28"/>
  <c r="BF5" i="28"/>
  <c r="BF6" i="28"/>
  <c r="BF7" i="28"/>
  <c r="BF8" i="28"/>
  <c r="BF9" i="28"/>
  <c r="BF10" i="28"/>
  <c r="BF11" i="28"/>
  <c r="BF12" i="28"/>
  <c r="BF13" i="28"/>
  <c r="BF14" i="28"/>
  <c r="BF15" i="28"/>
  <c r="BF16" i="28"/>
  <c r="BF17" i="28"/>
  <c r="AT5" i="28"/>
  <c r="AT6" i="28"/>
  <c r="AT7" i="28"/>
  <c r="AT8" i="28"/>
  <c r="AT9" i="28"/>
  <c r="AT10" i="28"/>
  <c r="AT11" i="28"/>
  <c r="AT12" i="28"/>
  <c r="AT13" i="28"/>
  <c r="AT14" i="28"/>
  <c r="AT15" i="28"/>
  <c r="AT16" i="28"/>
  <c r="AT17" i="28"/>
  <c r="AT18" i="28"/>
  <c r="AT19" i="28"/>
  <c r="AT20" i="28"/>
  <c r="AT21" i="28"/>
  <c r="AT22" i="28"/>
  <c r="AT23" i="28"/>
  <c r="AT24" i="28"/>
  <c r="AT25" i="28"/>
  <c r="AT26" i="28"/>
  <c r="AT27" i="28"/>
  <c r="AT28" i="28"/>
  <c r="AT29" i="28"/>
  <c r="AT30" i="28"/>
  <c r="AT31" i="28"/>
  <c r="AT32" i="28"/>
  <c r="AT33" i="28"/>
  <c r="AT34" i="28"/>
  <c r="AT35" i="28"/>
  <c r="AT36" i="28"/>
  <c r="AT37" i="28"/>
  <c r="AT38" i="28"/>
  <c r="AT39" i="28"/>
  <c r="AT40" i="28"/>
  <c r="AT41" i="28"/>
  <c r="AT42" i="28"/>
  <c r="AT43" i="28"/>
  <c r="AT44" i="28"/>
  <c r="AT45" i="28"/>
  <c r="AT46" i="28"/>
  <c r="AT47" i="28"/>
  <c r="C4" i="28"/>
  <c r="E4" i="28"/>
  <c r="F4" i="28"/>
  <c r="K4" i="28"/>
  <c r="T4" i="28"/>
  <c r="U4" i="28"/>
  <c r="C5" i="28"/>
  <c r="K5" i="28"/>
  <c r="T5" i="28"/>
  <c r="U5" i="28"/>
  <c r="C6" i="28"/>
  <c r="K6" i="28"/>
  <c r="T6" i="28"/>
  <c r="U6" i="28"/>
  <c r="C7" i="28"/>
  <c r="K7" i="28"/>
  <c r="T7" i="28"/>
  <c r="U7" i="28"/>
  <c r="C8" i="28"/>
  <c r="E8" i="28"/>
  <c r="K8" i="28"/>
  <c r="T8" i="28"/>
  <c r="U8" i="28"/>
  <c r="C9" i="28"/>
  <c r="E9" i="28"/>
  <c r="K9" i="28"/>
  <c r="T9" i="28"/>
  <c r="U9" i="28"/>
  <c r="C10" i="28"/>
  <c r="E10" i="28"/>
  <c r="K10" i="28"/>
  <c r="T10" i="28"/>
  <c r="U10" i="28"/>
  <c r="C11" i="28"/>
  <c r="E11" i="28"/>
  <c r="K11" i="28"/>
  <c r="T11" i="28"/>
  <c r="U11" i="28"/>
  <c r="C12" i="28"/>
  <c r="E12" i="28"/>
  <c r="K12" i="28"/>
  <c r="T12" i="28"/>
  <c r="U12" i="28"/>
  <c r="C13" i="28"/>
  <c r="K13" i="28"/>
  <c r="T13" i="28"/>
  <c r="U13" i="28"/>
  <c r="C14" i="28"/>
  <c r="E14" i="28"/>
  <c r="K14" i="28"/>
  <c r="T14" i="28"/>
  <c r="U14" i="28"/>
  <c r="B41" i="9"/>
  <c r="B47" i="9"/>
  <c r="B22" i="11"/>
  <c r="B36" i="11"/>
  <c r="B29" i="11"/>
  <c r="B26" i="11"/>
  <c r="M4" i="28"/>
  <c r="N4" i="28"/>
  <c r="B21" i="11"/>
  <c r="E70" i="28"/>
  <c r="F70" i="28"/>
  <c r="I70" i="28"/>
  <c r="F14" i="28"/>
  <c r="I14" i="28"/>
  <c r="F12" i="28"/>
  <c r="I12" i="28"/>
  <c r="F10" i="28"/>
  <c r="I10" i="28"/>
  <c r="F8" i="28"/>
  <c r="I8" i="28"/>
  <c r="F114" i="28"/>
  <c r="I114" i="28"/>
  <c r="F9" i="28"/>
  <c r="I9" i="28"/>
  <c r="F11" i="28"/>
  <c r="I11" i="28"/>
  <c r="F97" i="28"/>
  <c r="I97" i="28"/>
  <c r="F91" i="28"/>
  <c r="I91" i="28"/>
  <c r="F84" i="28"/>
  <c r="I84" i="28"/>
  <c r="F82" i="28"/>
  <c r="I82" i="28"/>
  <c r="F80" i="28"/>
  <c r="I80" i="28"/>
  <c r="F78" i="28"/>
  <c r="I78" i="28"/>
  <c r="F76" i="28"/>
  <c r="I76" i="28"/>
  <c r="F74" i="28"/>
  <c r="I74" i="28"/>
  <c r="F72" i="28"/>
  <c r="I72" i="28"/>
  <c r="F68" i="28"/>
  <c r="I68" i="28"/>
  <c r="F66" i="28"/>
  <c r="I66" i="28"/>
  <c r="F64" i="28"/>
  <c r="I64" i="28"/>
  <c r="F62" i="28"/>
  <c r="I62" i="28"/>
  <c r="F60" i="28"/>
  <c r="I60" i="28"/>
  <c r="F58" i="28"/>
  <c r="I58" i="28"/>
  <c r="F56" i="28"/>
  <c r="I56" i="28"/>
  <c r="F54" i="28"/>
  <c r="I54" i="28"/>
  <c r="F52" i="28"/>
  <c r="I52" i="28"/>
  <c r="F50" i="28"/>
  <c r="I50" i="28"/>
  <c r="F48" i="28"/>
  <c r="I48" i="28"/>
  <c r="F46" i="28"/>
  <c r="I46" i="28"/>
  <c r="F44" i="28"/>
  <c r="I44" i="28"/>
  <c r="F42" i="28"/>
  <c r="I42" i="28"/>
  <c r="F40" i="28"/>
  <c r="I40" i="28"/>
  <c r="F36" i="28"/>
  <c r="I36" i="28"/>
  <c r="F34" i="28"/>
  <c r="I34" i="28"/>
  <c r="F32" i="28"/>
  <c r="I32" i="28"/>
  <c r="F30" i="28"/>
  <c r="I30" i="28"/>
  <c r="F28" i="28"/>
  <c r="I28" i="28"/>
  <c r="F24" i="28"/>
  <c r="I24" i="28"/>
  <c r="F22" i="28"/>
  <c r="I22" i="28"/>
  <c r="F20" i="28"/>
  <c r="I20" i="28"/>
  <c r="F18" i="28"/>
  <c r="I18" i="28"/>
  <c r="F16" i="28"/>
  <c r="I16" i="28"/>
  <c r="F86" i="28"/>
  <c r="I86" i="28"/>
  <c r="F94" i="28"/>
  <c r="I94" i="28"/>
  <c r="F89" i="28"/>
  <c r="I89" i="28"/>
  <c r="F98" i="28"/>
  <c r="I98" i="28"/>
  <c r="F92" i="28"/>
  <c r="I92" i="28"/>
  <c r="F95" i="28"/>
  <c r="I95" i="28"/>
  <c r="F87" i="28"/>
  <c r="I87" i="28"/>
  <c r="F85" i="28"/>
  <c r="I85" i="28"/>
  <c r="F83" i="28"/>
  <c r="I83" i="28"/>
  <c r="F81" i="28"/>
  <c r="I81" i="28"/>
  <c r="F77" i="28"/>
  <c r="I77" i="28"/>
  <c r="F75" i="28"/>
  <c r="I75" i="28"/>
  <c r="F73" i="28"/>
  <c r="I73" i="28"/>
  <c r="F71" i="28"/>
  <c r="F69" i="28"/>
  <c r="I69" i="28"/>
  <c r="F67" i="28"/>
  <c r="I67" i="28"/>
  <c r="F65" i="28"/>
  <c r="I65" i="28"/>
  <c r="F63" i="28"/>
  <c r="I63" i="28"/>
  <c r="F59" i="28"/>
  <c r="I59" i="28"/>
  <c r="F57" i="28"/>
  <c r="I57" i="28"/>
  <c r="F55" i="28"/>
  <c r="I55" i="28"/>
  <c r="F53" i="28"/>
  <c r="I53" i="28"/>
  <c r="F51" i="28"/>
  <c r="I51" i="28"/>
  <c r="F49" i="28"/>
  <c r="I49" i="28"/>
  <c r="F47" i="28"/>
  <c r="I47" i="28"/>
  <c r="F45" i="28"/>
  <c r="I45" i="28"/>
  <c r="F43" i="28"/>
  <c r="I43" i="28"/>
  <c r="F41" i="28"/>
  <c r="I41" i="28"/>
  <c r="F39" i="28"/>
  <c r="I39" i="28"/>
  <c r="F37" i="28"/>
  <c r="I37" i="28"/>
  <c r="F35" i="28"/>
  <c r="I35" i="28"/>
  <c r="F33" i="28"/>
  <c r="I33" i="28"/>
  <c r="F31" i="28"/>
  <c r="I31" i="28"/>
  <c r="F29" i="28"/>
  <c r="I29" i="28"/>
  <c r="F27" i="28"/>
  <c r="I27" i="28"/>
  <c r="F25" i="28"/>
  <c r="I25" i="28"/>
  <c r="F23" i="28"/>
  <c r="I23" i="28"/>
  <c r="F21" i="28"/>
  <c r="I21" i="28"/>
  <c r="F19" i="28"/>
  <c r="I19" i="28"/>
  <c r="F17" i="28"/>
  <c r="I17" i="28"/>
  <c r="F15" i="28"/>
  <c r="I15" i="28"/>
  <c r="F111" i="28"/>
  <c r="I111" i="28"/>
  <c r="F90" i="28"/>
  <c r="I90" i="28"/>
  <c r="F93" i="28"/>
  <c r="I93" i="28"/>
  <c r="F96" i="28"/>
  <c r="I96" i="28"/>
  <c r="F88" i="28"/>
  <c r="I88" i="28"/>
  <c r="E79" i="28"/>
  <c r="F79" i="28"/>
  <c r="I79" i="28"/>
  <c r="L114" i="28"/>
  <c r="B114" i="32"/>
  <c r="G114" i="32"/>
  <c r="B102" i="29"/>
  <c r="B93" i="29"/>
  <c r="B107" i="29"/>
  <c r="B106" i="29"/>
  <c r="B95" i="29"/>
  <c r="B89" i="29"/>
  <c r="B88" i="29"/>
  <c r="B87" i="29"/>
  <c r="B114" i="29"/>
  <c r="B113" i="29"/>
  <c r="B112" i="29"/>
  <c r="B111" i="29"/>
  <c r="B105" i="29"/>
  <c r="B104" i="29"/>
  <c r="B103" i="29"/>
  <c r="B99" i="29"/>
  <c r="B98" i="29"/>
  <c r="B94" i="29"/>
  <c r="B100" i="29"/>
  <c r="B97" i="29"/>
  <c r="B96" i="29"/>
  <c r="L94" i="28"/>
  <c r="B94" i="32"/>
  <c r="G94" i="32"/>
  <c r="B90" i="29"/>
  <c r="B110" i="29"/>
  <c r="B109" i="29"/>
  <c r="B108" i="29"/>
  <c r="B101" i="29"/>
  <c r="B92" i="29"/>
  <c r="B91" i="29"/>
  <c r="L89" i="28"/>
  <c r="B89" i="32"/>
  <c r="G89" i="32"/>
  <c r="C89" i="30"/>
  <c r="G89" i="30"/>
  <c r="L113" i="28"/>
  <c r="B113" i="32"/>
  <c r="G113" i="32"/>
  <c r="L88" i="28"/>
  <c r="B88" i="32"/>
  <c r="G88" i="32"/>
  <c r="C88" i="30"/>
  <c r="G88" i="30"/>
  <c r="L112" i="28"/>
  <c r="B112" i="32"/>
  <c r="G112" i="32"/>
  <c r="C112" i="30"/>
  <c r="G112" i="30"/>
  <c r="L91" i="28"/>
  <c r="B91" i="32"/>
  <c r="G91" i="32"/>
  <c r="C91" i="30"/>
  <c r="G91" i="30"/>
  <c r="L90" i="28"/>
  <c r="B90" i="32"/>
  <c r="G90" i="32"/>
  <c r="L92" i="28"/>
  <c r="B92" i="32"/>
  <c r="G92" i="32"/>
  <c r="C92" i="30"/>
  <c r="G92" i="30"/>
  <c r="AT48" i="28"/>
  <c r="AT49" i="28"/>
  <c r="AT50" i="28"/>
  <c r="AT51" i="28"/>
  <c r="AT52" i="28"/>
  <c r="AT53" i="28"/>
  <c r="AT54" i="28"/>
  <c r="AT55" i="28"/>
  <c r="AT56" i="28"/>
  <c r="AT57" i="28"/>
  <c r="L110" i="28"/>
  <c r="B110" i="32"/>
  <c r="G110" i="32"/>
  <c r="BR24" i="28"/>
  <c r="BR25" i="28"/>
  <c r="BR26" i="28"/>
  <c r="BR27" i="28"/>
  <c r="BR28" i="28"/>
  <c r="BR29" i="28"/>
  <c r="BR30" i="28"/>
  <c r="BR31" i="28"/>
  <c r="BR32" i="28"/>
  <c r="BR33" i="28"/>
  <c r="BR34" i="28"/>
  <c r="BR35" i="28"/>
  <c r="BR36" i="28"/>
  <c r="BR37" i="28"/>
  <c r="BR38" i="28"/>
  <c r="BR39" i="28"/>
  <c r="L111" i="28"/>
  <c r="B111" i="32"/>
  <c r="G111" i="32"/>
  <c r="L87" i="28"/>
  <c r="B87" i="32"/>
  <c r="G87" i="32"/>
  <c r="L95" i="28"/>
  <c r="B95" i="32"/>
  <c r="G95" i="32"/>
  <c r="E61" i="28"/>
  <c r="F61" i="28"/>
  <c r="E103" i="28"/>
  <c r="F103" i="28"/>
  <c r="L99" i="28"/>
  <c r="B99" i="32"/>
  <c r="G99" i="32"/>
  <c r="L106" i="28"/>
  <c r="B106" i="32"/>
  <c r="G106" i="32"/>
  <c r="E106" i="28"/>
  <c r="F106" i="28"/>
  <c r="L102" i="28"/>
  <c r="B102" i="32"/>
  <c r="G102" i="32"/>
  <c r="E102" i="28"/>
  <c r="F102" i="28"/>
  <c r="L96" i="28"/>
  <c r="B96" i="32"/>
  <c r="G96" i="32"/>
  <c r="L107" i="28"/>
  <c r="B107" i="32"/>
  <c r="G107" i="32"/>
  <c r="L103" i="28"/>
  <c r="B103" i="32"/>
  <c r="G103" i="32"/>
  <c r="E99" i="28"/>
  <c r="F99" i="28"/>
  <c r="L109" i="28"/>
  <c r="B109" i="32"/>
  <c r="G109" i="32"/>
  <c r="E109" i="28"/>
  <c r="F109" i="28"/>
  <c r="L105" i="28"/>
  <c r="B105" i="32"/>
  <c r="G105" i="32"/>
  <c r="E105" i="28"/>
  <c r="F105" i="28"/>
  <c r="L101" i="28"/>
  <c r="B101" i="32"/>
  <c r="G101" i="32"/>
  <c r="E101" i="28"/>
  <c r="F101" i="28"/>
  <c r="L98" i="28"/>
  <c r="B98" i="32"/>
  <c r="G98" i="32"/>
  <c r="L97" i="28"/>
  <c r="B97" i="32"/>
  <c r="G97" i="32"/>
  <c r="E107" i="28"/>
  <c r="F107" i="28"/>
  <c r="E113" i="28"/>
  <c r="F113" i="28"/>
  <c r="E112" i="28"/>
  <c r="F112" i="28"/>
  <c r="E110" i="28"/>
  <c r="F110" i="28"/>
  <c r="L108" i="28"/>
  <c r="B108" i="32"/>
  <c r="G108" i="32"/>
  <c r="E108" i="28"/>
  <c r="F108" i="28"/>
  <c r="L104" i="28"/>
  <c r="B104" i="32"/>
  <c r="G104" i="32"/>
  <c r="E104" i="28"/>
  <c r="F104" i="28"/>
  <c r="L100" i="28"/>
  <c r="B100" i="32"/>
  <c r="G100" i="32"/>
  <c r="E100" i="28"/>
  <c r="F100" i="28"/>
  <c r="L93" i="28"/>
  <c r="B93" i="32"/>
  <c r="G93" i="32"/>
  <c r="I71" i="28"/>
  <c r="E38" i="28"/>
  <c r="F38" i="28"/>
  <c r="DB20" i="28"/>
  <c r="E26" i="28"/>
  <c r="F26" i="28"/>
  <c r="EL19" i="28"/>
  <c r="BF18" i="28"/>
  <c r="BF19" i="28"/>
  <c r="DZ6" i="28"/>
  <c r="DN6" i="28"/>
  <c r="E13" i="28"/>
  <c r="F13" i="28"/>
  <c r="E7" i="28"/>
  <c r="F7" i="28"/>
  <c r="E6" i="28"/>
  <c r="F6" i="28"/>
  <c r="E5" i="28"/>
  <c r="F5" i="28"/>
  <c r="B33" i="11"/>
  <c r="B44" i="11"/>
  <c r="O114" i="28"/>
  <c r="B114" i="30"/>
  <c r="B35" i="11"/>
  <c r="O113" i="28"/>
  <c r="B113" i="30"/>
  <c r="O112" i="28"/>
  <c r="O94" i="28"/>
  <c r="O89" i="28"/>
  <c r="O91" i="28"/>
  <c r="O88" i="28"/>
  <c r="O87" i="28"/>
  <c r="O92" i="28"/>
  <c r="O90" i="28"/>
  <c r="O93" i="28"/>
  <c r="O95" i="28"/>
  <c r="AT58" i="28"/>
  <c r="O110" i="28"/>
  <c r="B110" i="30"/>
  <c r="O111" i="28"/>
  <c r="B111" i="30"/>
  <c r="I61" i="28"/>
  <c r="BF20" i="28"/>
  <c r="I113" i="28"/>
  <c r="I103" i="28"/>
  <c r="O103" i="28"/>
  <c r="B103" i="30"/>
  <c r="EL20" i="28"/>
  <c r="I99" i="28"/>
  <c r="I108" i="28"/>
  <c r="I107" i="28"/>
  <c r="I105" i="28"/>
  <c r="I106" i="28"/>
  <c r="DB21" i="28"/>
  <c r="O104" i="28"/>
  <c r="B104" i="30"/>
  <c r="O101" i="28"/>
  <c r="B101" i="30"/>
  <c r="O109" i="28"/>
  <c r="B109" i="30"/>
  <c r="O107" i="28"/>
  <c r="B107" i="30"/>
  <c r="O99" i="28"/>
  <c r="B99" i="30"/>
  <c r="O100" i="28"/>
  <c r="B100" i="30"/>
  <c r="O108" i="28"/>
  <c r="B108" i="30"/>
  <c r="I110" i="28"/>
  <c r="I112" i="28"/>
  <c r="O98" i="28"/>
  <c r="B98" i="30"/>
  <c r="O105" i="28"/>
  <c r="B105" i="30"/>
  <c r="O96" i="28"/>
  <c r="B96" i="30"/>
  <c r="I102" i="28"/>
  <c r="O106" i="28"/>
  <c r="B106" i="30"/>
  <c r="I26" i="28"/>
  <c r="I38" i="28"/>
  <c r="BR40" i="28"/>
  <c r="I100" i="28"/>
  <c r="I104" i="28"/>
  <c r="O97" i="28"/>
  <c r="B97" i="30"/>
  <c r="I101" i="28"/>
  <c r="I109" i="28"/>
  <c r="O102" i="28"/>
  <c r="B102" i="30"/>
  <c r="DZ7" i="28"/>
  <c r="DN7" i="28"/>
  <c r="I4" i="28"/>
  <c r="I13" i="28"/>
  <c r="I5" i="28"/>
  <c r="I7" i="28"/>
  <c r="I6" i="28"/>
  <c r="B50" i="9"/>
  <c r="B51" i="9"/>
  <c r="B4" i="27"/>
  <c r="C4" i="27"/>
  <c r="A4" i="27"/>
  <c r="D4" i="27"/>
  <c r="F4" i="27"/>
  <c r="E4" i="27"/>
  <c r="R4" i="28"/>
  <c r="B5" i="27"/>
  <c r="C5" i="27"/>
  <c r="A5" i="27"/>
  <c r="D5" i="27"/>
  <c r="F5" i="27"/>
  <c r="E5" i="27"/>
  <c r="R5" i="28"/>
  <c r="B6" i="27"/>
  <c r="C6" i="27"/>
  <c r="A6" i="27"/>
  <c r="D6" i="27"/>
  <c r="F6" i="27"/>
  <c r="E6" i="27"/>
  <c r="R6" i="28"/>
  <c r="B7" i="27"/>
  <c r="C7" i="27"/>
  <c r="A7" i="27"/>
  <c r="D7" i="27"/>
  <c r="F7" i="27"/>
  <c r="E7" i="27"/>
  <c r="R7" i="28"/>
  <c r="B8" i="27"/>
  <c r="C8" i="27"/>
  <c r="A8" i="27"/>
  <c r="D8" i="27"/>
  <c r="F8" i="27"/>
  <c r="E8" i="27"/>
  <c r="R8" i="28"/>
  <c r="B9" i="27"/>
  <c r="C9" i="27"/>
  <c r="A9" i="27"/>
  <c r="D9" i="27"/>
  <c r="E9" i="27"/>
  <c r="R9" i="28"/>
  <c r="F9" i="27"/>
  <c r="B10" i="27"/>
  <c r="C10" i="27"/>
  <c r="A10" i="27"/>
  <c r="D10" i="27"/>
  <c r="F10" i="27"/>
  <c r="E10" i="27"/>
  <c r="R10" i="28"/>
  <c r="B11" i="27"/>
  <c r="C11" i="27"/>
  <c r="A11" i="27"/>
  <c r="D11" i="27"/>
  <c r="F11" i="27"/>
  <c r="E11" i="27"/>
  <c r="R11" i="28"/>
  <c r="B12" i="27"/>
  <c r="C12" i="27"/>
  <c r="A12" i="27"/>
  <c r="D12" i="27"/>
  <c r="F12" i="27"/>
  <c r="E12" i="27"/>
  <c r="R12" i="28"/>
  <c r="B13" i="27"/>
  <c r="C13" i="27"/>
  <c r="A13" i="27"/>
  <c r="D13" i="27"/>
  <c r="F13" i="27"/>
  <c r="E13" i="27"/>
  <c r="R13" i="28"/>
  <c r="B14" i="27"/>
  <c r="C14" i="27"/>
  <c r="A14" i="27"/>
  <c r="D14" i="27"/>
  <c r="F14" i="27"/>
  <c r="E14" i="27"/>
  <c r="R14" i="28"/>
  <c r="B15" i="27"/>
  <c r="C15" i="27"/>
  <c r="A15" i="27"/>
  <c r="D15" i="27"/>
  <c r="E15" i="27"/>
  <c r="R15" i="28"/>
  <c r="F15" i="27"/>
  <c r="B16" i="27"/>
  <c r="C16" i="27"/>
  <c r="A16" i="27"/>
  <c r="D16" i="27"/>
  <c r="F16" i="27"/>
  <c r="E16" i="27"/>
  <c r="R16" i="28"/>
  <c r="B17" i="27"/>
  <c r="C17" i="27"/>
  <c r="A17" i="27"/>
  <c r="D17" i="27"/>
  <c r="E17" i="27"/>
  <c r="R17" i="28"/>
  <c r="F17" i="27"/>
  <c r="B18" i="27"/>
  <c r="C18" i="27"/>
  <c r="A18" i="27"/>
  <c r="D18" i="27"/>
  <c r="F18" i="27"/>
  <c r="E18" i="27"/>
  <c r="R18" i="28"/>
  <c r="B19" i="27"/>
  <c r="C19" i="27"/>
  <c r="A19" i="27"/>
  <c r="D19" i="27"/>
  <c r="F19" i="27"/>
  <c r="E19" i="27"/>
  <c r="R19" i="28"/>
  <c r="B20" i="27"/>
  <c r="C20" i="27"/>
  <c r="A20" i="27"/>
  <c r="D20" i="27"/>
  <c r="F20" i="27"/>
  <c r="E20" i="27"/>
  <c r="R20" i="28"/>
  <c r="B21" i="27"/>
  <c r="C21" i="27"/>
  <c r="A21" i="27"/>
  <c r="D21" i="27"/>
  <c r="E21" i="27"/>
  <c r="R21" i="28"/>
  <c r="F21" i="27"/>
  <c r="B22" i="27"/>
  <c r="C22" i="27"/>
  <c r="A22" i="27"/>
  <c r="D22" i="27"/>
  <c r="F22" i="27"/>
  <c r="E22" i="27"/>
  <c r="R22" i="28"/>
  <c r="B23" i="27"/>
  <c r="C23" i="27"/>
  <c r="A23" i="27"/>
  <c r="D23" i="27"/>
  <c r="E23" i="27"/>
  <c r="R23" i="28"/>
  <c r="F23" i="27"/>
  <c r="B24" i="27"/>
  <c r="C24" i="27"/>
  <c r="A24" i="27"/>
  <c r="D24" i="27"/>
  <c r="F24" i="27"/>
  <c r="E24" i="27"/>
  <c r="R24" i="28"/>
  <c r="B25" i="27"/>
  <c r="C25" i="27"/>
  <c r="A25" i="27"/>
  <c r="D25" i="27"/>
  <c r="E25" i="27"/>
  <c r="R25" i="28"/>
  <c r="F25" i="27"/>
  <c r="B26" i="27"/>
  <c r="C26" i="27"/>
  <c r="A26" i="27"/>
  <c r="D26" i="27"/>
  <c r="F26" i="27"/>
  <c r="E26" i="27"/>
  <c r="R26" i="28"/>
  <c r="B27" i="27"/>
  <c r="C27" i="27"/>
  <c r="A27" i="27"/>
  <c r="D27" i="27"/>
  <c r="F27" i="27"/>
  <c r="E27" i="27"/>
  <c r="R27" i="28"/>
  <c r="B28" i="27"/>
  <c r="C28" i="27"/>
  <c r="A28" i="27"/>
  <c r="D28" i="27"/>
  <c r="F28" i="27"/>
  <c r="E28" i="27"/>
  <c r="R28" i="28"/>
  <c r="B29" i="27"/>
  <c r="C29" i="27"/>
  <c r="A29" i="27"/>
  <c r="D29" i="27"/>
  <c r="F29" i="27"/>
  <c r="E29" i="27"/>
  <c r="R29" i="28"/>
  <c r="B30" i="27"/>
  <c r="C30" i="27"/>
  <c r="A30" i="27"/>
  <c r="D30" i="27"/>
  <c r="F30" i="27"/>
  <c r="E30" i="27"/>
  <c r="R30" i="28"/>
  <c r="B31" i="27"/>
  <c r="C31" i="27"/>
  <c r="A31" i="27"/>
  <c r="D31" i="27"/>
  <c r="E31" i="27"/>
  <c r="R31" i="28"/>
  <c r="F31" i="27"/>
  <c r="B32" i="27"/>
  <c r="C32" i="27"/>
  <c r="A32" i="27"/>
  <c r="D32" i="27"/>
  <c r="F32" i="27"/>
  <c r="E32" i="27"/>
  <c r="R32" i="28"/>
  <c r="B33" i="27"/>
  <c r="C33" i="27"/>
  <c r="A33" i="27"/>
  <c r="D33" i="27"/>
  <c r="E33" i="27"/>
  <c r="R33" i="28"/>
  <c r="F33" i="27"/>
  <c r="B34" i="27"/>
  <c r="C34" i="27"/>
  <c r="A34" i="27"/>
  <c r="D34" i="27"/>
  <c r="F34" i="27"/>
  <c r="E34" i="27"/>
  <c r="R34" i="28"/>
  <c r="B35" i="27"/>
  <c r="C35" i="27"/>
  <c r="A35" i="27"/>
  <c r="D35" i="27"/>
  <c r="F35" i="27"/>
  <c r="E35" i="27"/>
  <c r="R35" i="28"/>
  <c r="B36" i="27"/>
  <c r="C36" i="27"/>
  <c r="A36" i="27"/>
  <c r="D36" i="27"/>
  <c r="F36" i="27"/>
  <c r="E36" i="27"/>
  <c r="R36" i="28"/>
  <c r="B37" i="27"/>
  <c r="C37" i="27"/>
  <c r="A37" i="27"/>
  <c r="D37" i="27"/>
  <c r="E37" i="27"/>
  <c r="R37" i="28"/>
  <c r="F37" i="27"/>
  <c r="B38" i="27"/>
  <c r="C38" i="27"/>
  <c r="A38" i="27"/>
  <c r="D38" i="27"/>
  <c r="F38" i="27"/>
  <c r="E38" i="27"/>
  <c r="R38" i="28"/>
  <c r="B39" i="27"/>
  <c r="C39" i="27"/>
  <c r="A39" i="27"/>
  <c r="D39" i="27"/>
  <c r="E39" i="27"/>
  <c r="R39" i="28"/>
  <c r="F39" i="27"/>
  <c r="B40" i="27"/>
  <c r="C40" i="27"/>
  <c r="A40" i="27"/>
  <c r="D40" i="27"/>
  <c r="F40" i="27"/>
  <c r="E40" i="27"/>
  <c r="R40" i="28"/>
  <c r="B41" i="27"/>
  <c r="C41" i="27"/>
  <c r="A41" i="27"/>
  <c r="D41" i="27"/>
  <c r="E41" i="27"/>
  <c r="R41" i="28"/>
  <c r="F41" i="27"/>
  <c r="B42" i="27"/>
  <c r="C42" i="27"/>
  <c r="A42" i="27"/>
  <c r="D42" i="27"/>
  <c r="F42" i="27"/>
  <c r="E42" i="27"/>
  <c r="R42" i="28"/>
  <c r="B43" i="27"/>
  <c r="C43" i="27"/>
  <c r="A43" i="27"/>
  <c r="D43" i="27"/>
  <c r="F43" i="27"/>
  <c r="E43" i="27"/>
  <c r="R43" i="28"/>
  <c r="B44" i="27"/>
  <c r="C44" i="27"/>
  <c r="A44" i="27"/>
  <c r="D44" i="27"/>
  <c r="F44" i="27"/>
  <c r="E44" i="27"/>
  <c r="R44" i="28"/>
  <c r="B45" i="27"/>
  <c r="C45" i="27"/>
  <c r="A45" i="27"/>
  <c r="D45" i="27"/>
  <c r="F45" i="27"/>
  <c r="E45" i="27"/>
  <c r="R45" i="28"/>
  <c r="B46" i="27"/>
  <c r="C46" i="27"/>
  <c r="A46" i="27"/>
  <c r="D46" i="27"/>
  <c r="F46" i="27"/>
  <c r="E46" i="27"/>
  <c r="R46" i="28"/>
  <c r="B47" i="27"/>
  <c r="C47" i="27"/>
  <c r="A47" i="27"/>
  <c r="D47" i="27"/>
  <c r="E47" i="27"/>
  <c r="R47" i="28"/>
  <c r="F47" i="27"/>
  <c r="B48" i="27"/>
  <c r="C48" i="27"/>
  <c r="A48" i="27"/>
  <c r="D48" i="27"/>
  <c r="F48" i="27"/>
  <c r="E48" i="27"/>
  <c r="R48" i="28"/>
  <c r="B49" i="27"/>
  <c r="C49" i="27"/>
  <c r="A49" i="27"/>
  <c r="D49" i="27"/>
  <c r="E49" i="27"/>
  <c r="R49" i="28"/>
  <c r="F49" i="27"/>
  <c r="B50" i="27"/>
  <c r="C50" i="27"/>
  <c r="A50" i="27"/>
  <c r="D50" i="27"/>
  <c r="F50" i="27"/>
  <c r="E50" i="27"/>
  <c r="R50" i="28"/>
  <c r="B51" i="27"/>
  <c r="C51" i="27"/>
  <c r="A51" i="27"/>
  <c r="D51" i="27"/>
  <c r="F51" i="27"/>
  <c r="E51" i="27"/>
  <c r="R51" i="28"/>
  <c r="B52" i="27"/>
  <c r="C52" i="27"/>
  <c r="A52" i="27"/>
  <c r="D52" i="27"/>
  <c r="F52" i="27"/>
  <c r="E52" i="27"/>
  <c r="R52" i="28"/>
  <c r="B53" i="27"/>
  <c r="C53" i="27"/>
  <c r="A53" i="27"/>
  <c r="D53" i="27"/>
  <c r="E53" i="27"/>
  <c r="R53" i="28"/>
  <c r="F53" i="27"/>
  <c r="B54" i="27"/>
  <c r="C54" i="27"/>
  <c r="A54" i="27"/>
  <c r="D54" i="27"/>
  <c r="F54" i="27"/>
  <c r="E54" i="27"/>
  <c r="R54" i="28"/>
  <c r="B55" i="27"/>
  <c r="C55" i="27"/>
  <c r="A55" i="27"/>
  <c r="D55" i="27"/>
  <c r="E55" i="27"/>
  <c r="R55" i="28"/>
  <c r="F55" i="27"/>
  <c r="B56" i="27"/>
  <c r="C56" i="27"/>
  <c r="A56" i="27"/>
  <c r="D56" i="27"/>
  <c r="F56" i="27"/>
  <c r="E56" i="27"/>
  <c r="R56" i="28"/>
  <c r="B57" i="27"/>
  <c r="C57" i="27"/>
  <c r="A57" i="27"/>
  <c r="D57" i="27"/>
  <c r="E57" i="27"/>
  <c r="R57" i="28"/>
  <c r="F57" i="27"/>
  <c r="B58" i="27"/>
  <c r="C58" i="27"/>
  <c r="A58" i="27"/>
  <c r="D58" i="27"/>
  <c r="F58" i="27"/>
  <c r="E58" i="27"/>
  <c r="R58" i="28"/>
  <c r="B59" i="27"/>
  <c r="C59" i="27"/>
  <c r="A59" i="27"/>
  <c r="D59" i="27"/>
  <c r="F59" i="27"/>
  <c r="E59" i="27"/>
  <c r="R59" i="28"/>
  <c r="B60" i="27"/>
  <c r="C60" i="27"/>
  <c r="A60" i="27"/>
  <c r="D60" i="27"/>
  <c r="F60" i="27"/>
  <c r="E60" i="27"/>
  <c r="R60" i="28"/>
  <c r="B61" i="27"/>
  <c r="C61" i="27"/>
  <c r="A61" i="27"/>
  <c r="D61" i="27"/>
  <c r="F61" i="27"/>
  <c r="E61" i="27"/>
  <c r="R61" i="28"/>
  <c r="B62" i="27"/>
  <c r="C62" i="27"/>
  <c r="A62" i="27"/>
  <c r="D62" i="27"/>
  <c r="F62" i="27"/>
  <c r="E62" i="27"/>
  <c r="R62" i="28"/>
  <c r="B63" i="27"/>
  <c r="C63" i="27"/>
  <c r="A63" i="27"/>
  <c r="D63" i="27"/>
  <c r="F63" i="27"/>
  <c r="E63" i="27"/>
  <c r="R63" i="28"/>
  <c r="B64" i="27"/>
  <c r="C64" i="27"/>
  <c r="A64" i="27"/>
  <c r="D64" i="27"/>
  <c r="F64" i="27"/>
  <c r="E64" i="27"/>
  <c r="R64" i="28"/>
  <c r="B65" i="27"/>
  <c r="C65" i="27"/>
  <c r="A65" i="27"/>
  <c r="D65" i="27"/>
  <c r="E65" i="27"/>
  <c r="R65" i="28"/>
  <c r="F65" i="27"/>
  <c r="B66" i="27"/>
  <c r="C66" i="27"/>
  <c r="A66" i="27"/>
  <c r="D66" i="27"/>
  <c r="F66" i="27"/>
  <c r="E66" i="27"/>
  <c r="R66" i="28"/>
  <c r="B67" i="27"/>
  <c r="C67" i="27"/>
  <c r="A67" i="27"/>
  <c r="D67" i="27"/>
  <c r="F67" i="27"/>
  <c r="E67" i="27"/>
  <c r="R67" i="28"/>
  <c r="B68" i="27"/>
  <c r="C68" i="27"/>
  <c r="A68" i="27"/>
  <c r="D68" i="27"/>
  <c r="F68" i="27"/>
  <c r="E68" i="27"/>
  <c r="R68" i="28"/>
  <c r="B69" i="27"/>
  <c r="C69" i="27"/>
  <c r="A69" i="27"/>
  <c r="D69" i="27"/>
  <c r="F69" i="27"/>
  <c r="E69" i="27"/>
  <c r="R69" i="28"/>
  <c r="B70" i="27"/>
  <c r="C70" i="27"/>
  <c r="A70" i="27"/>
  <c r="D70" i="27"/>
  <c r="F70" i="27"/>
  <c r="E70" i="27"/>
  <c r="R70" i="28"/>
  <c r="B71" i="27"/>
  <c r="C71" i="27"/>
  <c r="A71" i="27"/>
  <c r="D71" i="27"/>
  <c r="F71" i="27"/>
  <c r="E71" i="27"/>
  <c r="R71" i="28"/>
  <c r="B72" i="27"/>
  <c r="C72" i="27"/>
  <c r="A72" i="27"/>
  <c r="D72" i="27"/>
  <c r="F72" i="27"/>
  <c r="E72" i="27"/>
  <c r="R72" i="28"/>
  <c r="B73" i="27"/>
  <c r="C73" i="27"/>
  <c r="A73" i="27"/>
  <c r="D73" i="27"/>
  <c r="E73" i="27"/>
  <c r="R73" i="28"/>
  <c r="F73" i="27"/>
  <c r="B74" i="27"/>
  <c r="C74" i="27"/>
  <c r="A74" i="27"/>
  <c r="D74" i="27"/>
  <c r="F74" i="27"/>
  <c r="E74" i="27"/>
  <c r="R74" i="28"/>
  <c r="B75" i="27"/>
  <c r="C75" i="27"/>
  <c r="A75" i="27"/>
  <c r="D75" i="27"/>
  <c r="F75" i="27"/>
  <c r="E75" i="27"/>
  <c r="R75" i="28"/>
  <c r="B76" i="27"/>
  <c r="C76" i="27"/>
  <c r="A76" i="27"/>
  <c r="D76" i="27"/>
  <c r="F76" i="27"/>
  <c r="E76" i="27"/>
  <c r="R76" i="28"/>
  <c r="B77" i="27"/>
  <c r="C77" i="27"/>
  <c r="A77" i="27"/>
  <c r="D77" i="27"/>
  <c r="E77" i="27"/>
  <c r="R77" i="28"/>
  <c r="F77" i="27"/>
  <c r="B78" i="27"/>
  <c r="C78" i="27"/>
  <c r="A78" i="27"/>
  <c r="D78" i="27"/>
  <c r="F78" i="27"/>
  <c r="E78" i="27"/>
  <c r="R78" i="28"/>
  <c r="B79" i="27"/>
  <c r="C79" i="27"/>
  <c r="A79" i="27"/>
  <c r="D79" i="27"/>
  <c r="F79" i="27"/>
  <c r="E79" i="27"/>
  <c r="R79" i="28"/>
  <c r="C80" i="27"/>
  <c r="A80" i="27"/>
  <c r="B80" i="27"/>
  <c r="D80" i="27"/>
  <c r="F80" i="27"/>
  <c r="E80" i="27"/>
  <c r="R80" i="28"/>
  <c r="B81" i="27"/>
  <c r="C81" i="27"/>
  <c r="A81" i="27"/>
  <c r="D81" i="27"/>
  <c r="F81" i="27"/>
  <c r="E81" i="27"/>
  <c r="R81" i="28"/>
  <c r="B82" i="27"/>
  <c r="C82" i="27"/>
  <c r="A82" i="27"/>
  <c r="D82" i="27"/>
  <c r="F82" i="27"/>
  <c r="E82" i="27"/>
  <c r="R82" i="28"/>
  <c r="B83" i="27"/>
  <c r="C83" i="27"/>
  <c r="A83" i="27"/>
  <c r="D83" i="27"/>
  <c r="F83" i="27"/>
  <c r="E83" i="27"/>
  <c r="R83" i="28"/>
  <c r="B84" i="27"/>
  <c r="C84" i="27"/>
  <c r="A84" i="27"/>
  <c r="D84" i="27"/>
  <c r="F84" i="27"/>
  <c r="E84" i="27"/>
  <c r="R84" i="28"/>
  <c r="B85" i="27"/>
  <c r="C85" i="27"/>
  <c r="A85" i="27"/>
  <c r="D85" i="27"/>
  <c r="F85" i="27"/>
  <c r="E85" i="27"/>
  <c r="R85" i="28"/>
  <c r="B86" i="27"/>
  <c r="C86" i="27"/>
  <c r="A86" i="27"/>
  <c r="D86" i="27"/>
  <c r="F86" i="27"/>
  <c r="E86" i="27"/>
  <c r="R86" i="28"/>
  <c r="E86" i="25"/>
  <c r="D86" i="25"/>
  <c r="F86" i="25"/>
  <c r="C86" i="25"/>
  <c r="B86" i="25"/>
  <c r="A86" i="25"/>
  <c r="E85" i="25"/>
  <c r="D85" i="25"/>
  <c r="F85" i="25"/>
  <c r="C85" i="25"/>
  <c r="A85" i="25"/>
  <c r="B85" i="25"/>
  <c r="E84" i="25"/>
  <c r="D84" i="25"/>
  <c r="F84" i="25"/>
  <c r="C84" i="25"/>
  <c r="A84" i="25"/>
  <c r="B84" i="25"/>
  <c r="E83" i="25"/>
  <c r="D83" i="25"/>
  <c r="F83" i="25"/>
  <c r="C83" i="25"/>
  <c r="B83" i="25"/>
  <c r="A83" i="25"/>
  <c r="E82" i="25"/>
  <c r="D82" i="25"/>
  <c r="F82" i="25"/>
  <c r="C82" i="25"/>
  <c r="A82" i="25"/>
  <c r="B82" i="25"/>
  <c r="E81" i="25"/>
  <c r="D81" i="25"/>
  <c r="F81" i="25"/>
  <c r="C81" i="25"/>
  <c r="A81" i="25"/>
  <c r="B81" i="25"/>
  <c r="E80" i="25"/>
  <c r="D80" i="25"/>
  <c r="F80" i="25"/>
  <c r="C80" i="25"/>
  <c r="A80" i="25"/>
  <c r="B80" i="25"/>
  <c r="E79" i="25"/>
  <c r="D79" i="25"/>
  <c r="F79" i="25"/>
  <c r="C79" i="25"/>
  <c r="A79" i="25"/>
  <c r="B79" i="25"/>
  <c r="E78" i="25"/>
  <c r="D78" i="25"/>
  <c r="F78" i="25"/>
  <c r="C78" i="25"/>
  <c r="B78" i="25"/>
  <c r="A78" i="25"/>
  <c r="E77" i="25"/>
  <c r="D77" i="25"/>
  <c r="F77" i="25"/>
  <c r="C77" i="25"/>
  <c r="A77" i="25"/>
  <c r="B77" i="25"/>
  <c r="E76" i="25"/>
  <c r="D76" i="25"/>
  <c r="F76" i="25"/>
  <c r="C76" i="25"/>
  <c r="A76" i="25"/>
  <c r="B76" i="25"/>
  <c r="E75" i="25"/>
  <c r="D75" i="25"/>
  <c r="F75" i="25"/>
  <c r="C75" i="25"/>
  <c r="B75" i="25"/>
  <c r="A75" i="25"/>
  <c r="E74" i="25"/>
  <c r="D74" i="25"/>
  <c r="F74" i="25"/>
  <c r="C74" i="25"/>
  <c r="A74" i="25"/>
  <c r="B74" i="25"/>
  <c r="E73" i="25"/>
  <c r="D73" i="25"/>
  <c r="F73" i="25"/>
  <c r="C73" i="25"/>
  <c r="A73" i="25"/>
  <c r="B73" i="25"/>
  <c r="E72" i="25"/>
  <c r="D72" i="25"/>
  <c r="F72" i="25"/>
  <c r="C72" i="25"/>
  <c r="A72" i="25"/>
  <c r="B72" i="25"/>
  <c r="E71" i="25"/>
  <c r="D71" i="25"/>
  <c r="F71" i="25"/>
  <c r="C71" i="25"/>
  <c r="B71" i="25"/>
  <c r="A71" i="25"/>
  <c r="E70" i="25"/>
  <c r="D70" i="25"/>
  <c r="F70" i="25"/>
  <c r="C70" i="25"/>
  <c r="B70" i="25"/>
  <c r="A70" i="25"/>
  <c r="E69" i="25"/>
  <c r="D69" i="25"/>
  <c r="F69" i="25"/>
  <c r="C69" i="25"/>
  <c r="A69" i="25"/>
  <c r="B69" i="25"/>
  <c r="E68" i="25"/>
  <c r="D68" i="25"/>
  <c r="F68" i="25"/>
  <c r="C68" i="25"/>
  <c r="A68" i="25"/>
  <c r="B68" i="25"/>
  <c r="E67" i="25"/>
  <c r="D67" i="25"/>
  <c r="F67" i="25"/>
  <c r="C67" i="25"/>
  <c r="B67" i="25"/>
  <c r="A67" i="25"/>
  <c r="E66" i="25"/>
  <c r="D66" i="25"/>
  <c r="F66" i="25"/>
  <c r="C66" i="25"/>
  <c r="A66" i="25"/>
  <c r="B66" i="25"/>
  <c r="E65" i="25"/>
  <c r="D65" i="25"/>
  <c r="F65" i="25"/>
  <c r="C65" i="25"/>
  <c r="A65" i="25"/>
  <c r="B65" i="25"/>
  <c r="E64" i="25"/>
  <c r="D64" i="25"/>
  <c r="F64" i="25"/>
  <c r="C64" i="25"/>
  <c r="A64" i="25"/>
  <c r="B64" i="25"/>
  <c r="E63" i="25"/>
  <c r="D63" i="25"/>
  <c r="F63" i="25"/>
  <c r="C63" i="25"/>
  <c r="A63" i="25"/>
  <c r="B63" i="25"/>
  <c r="E62" i="25"/>
  <c r="D62" i="25"/>
  <c r="F62" i="25"/>
  <c r="C62" i="25"/>
  <c r="B62" i="25"/>
  <c r="A62" i="25"/>
  <c r="E61" i="25"/>
  <c r="D61" i="25"/>
  <c r="F61" i="25"/>
  <c r="C61" i="25"/>
  <c r="A61" i="25"/>
  <c r="B61" i="25"/>
  <c r="E60" i="25"/>
  <c r="D60" i="25"/>
  <c r="F60" i="25"/>
  <c r="C60" i="25"/>
  <c r="A60" i="25"/>
  <c r="B60" i="25"/>
  <c r="E59" i="25"/>
  <c r="D59" i="25"/>
  <c r="F59" i="25"/>
  <c r="C59" i="25"/>
  <c r="B59" i="25"/>
  <c r="A59" i="25"/>
  <c r="E58" i="25"/>
  <c r="D58" i="25"/>
  <c r="F58" i="25"/>
  <c r="C58" i="25"/>
  <c r="A58" i="25"/>
  <c r="B58" i="25"/>
  <c r="E57" i="25"/>
  <c r="D57" i="25"/>
  <c r="F57" i="25"/>
  <c r="C57" i="25"/>
  <c r="A57" i="25"/>
  <c r="B57" i="25"/>
  <c r="E56" i="25"/>
  <c r="D56" i="25"/>
  <c r="F56" i="25"/>
  <c r="C56" i="25"/>
  <c r="A56" i="25"/>
  <c r="B56" i="25"/>
  <c r="E55" i="25"/>
  <c r="D55" i="25"/>
  <c r="F55" i="25"/>
  <c r="C55" i="25"/>
  <c r="B55" i="25"/>
  <c r="A55" i="25"/>
  <c r="E54" i="25"/>
  <c r="D54" i="25"/>
  <c r="F54" i="25"/>
  <c r="C54" i="25"/>
  <c r="B54" i="25"/>
  <c r="A54" i="25"/>
  <c r="E53" i="25"/>
  <c r="D53" i="25"/>
  <c r="F53" i="25"/>
  <c r="C53" i="25"/>
  <c r="A53" i="25"/>
  <c r="B53" i="25"/>
  <c r="E52" i="25"/>
  <c r="D52" i="25"/>
  <c r="F52" i="25"/>
  <c r="C52" i="25"/>
  <c r="A52" i="25"/>
  <c r="B52" i="25"/>
  <c r="E51" i="25"/>
  <c r="D51" i="25"/>
  <c r="F51" i="25"/>
  <c r="C51" i="25"/>
  <c r="B51" i="25"/>
  <c r="A51" i="25"/>
  <c r="E50" i="25"/>
  <c r="D50" i="25"/>
  <c r="F50" i="25"/>
  <c r="C50" i="25"/>
  <c r="A50" i="25"/>
  <c r="B50" i="25"/>
  <c r="E49" i="25"/>
  <c r="D49" i="25"/>
  <c r="F49" i="25"/>
  <c r="C49" i="25"/>
  <c r="A49" i="25"/>
  <c r="B49" i="25"/>
  <c r="E48" i="25"/>
  <c r="D48" i="25"/>
  <c r="F48" i="25"/>
  <c r="C48" i="25"/>
  <c r="A48" i="25"/>
  <c r="B48" i="25"/>
  <c r="E47" i="25"/>
  <c r="D47" i="25"/>
  <c r="F47" i="25"/>
  <c r="C47" i="25"/>
  <c r="A47" i="25"/>
  <c r="B47" i="25"/>
  <c r="E46" i="25"/>
  <c r="D46" i="25"/>
  <c r="F46" i="25"/>
  <c r="C46" i="25"/>
  <c r="B46" i="25"/>
  <c r="A46" i="25"/>
  <c r="E45" i="25"/>
  <c r="D45" i="25"/>
  <c r="F45" i="25"/>
  <c r="C45" i="25"/>
  <c r="A45" i="25"/>
  <c r="B45" i="25"/>
  <c r="E44" i="25"/>
  <c r="D44" i="25"/>
  <c r="F44" i="25"/>
  <c r="C44" i="25"/>
  <c r="A44" i="25"/>
  <c r="B44" i="25"/>
  <c r="E43" i="25"/>
  <c r="D43" i="25"/>
  <c r="F43" i="25"/>
  <c r="C43" i="25"/>
  <c r="B43" i="25"/>
  <c r="A43" i="25"/>
  <c r="E42" i="25"/>
  <c r="D42" i="25"/>
  <c r="F42" i="25"/>
  <c r="C42" i="25"/>
  <c r="A42" i="25"/>
  <c r="B42" i="25"/>
  <c r="E41" i="25"/>
  <c r="D41" i="25"/>
  <c r="F41" i="25"/>
  <c r="C41" i="25"/>
  <c r="A41" i="25"/>
  <c r="B41" i="25"/>
  <c r="E40" i="25"/>
  <c r="D40" i="25"/>
  <c r="F40" i="25"/>
  <c r="C40" i="25"/>
  <c r="A40" i="25"/>
  <c r="B40" i="25"/>
  <c r="E39" i="25"/>
  <c r="D39" i="25"/>
  <c r="F39" i="25"/>
  <c r="C39" i="25"/>
  <c r="B39" i="25"/>
  <c r="A39" i="25"/>
  <c r="E38" i="25"/>
  <c r="D38" i="25"/>
  <c r="F38" i="25"/>
  <c r="C38" i="25"/>
  <c r="B38" i="25"/>
  <c r="A38" i="25"/>
  <c r="E37" i="25"/>
  <c r="D37" i="25"/>
  <c r="F37" i="25"/>
  <c r="C37" i="25"/>
  <c r="A37" i="25"/>
  <c r="B37" i="25"/>
  <c r="E36" i="25"/>
  <c r="D36" i="25"/>
  <c r="F36" i="25"/>
  <c r="C36" i="25"/>
  <c r="A36" i="25"/>
  <c r="B36" i="25"/>
  <c r="E35" i="25"/>
  <c r="D35" i="25"/>
  <c r="F35" i="25"/>
  <c r="C35" i="25"/>
  <c r="B35" i="25"/>
  <c r="A35" i="25"/>
  <c r="E34" i="25"/>
  <c r="D34" i="25"/>
  <c r="F34" i="25"/>
  <c r="C34" i="25"/>
  <c r="A34" i="25"/>
  <c r="B34" i="25"/>
  <c r="E33" i="25"/>
  <c r="D33" i="25"/>
  <c r="F33" i="25"/>
  <c r="C33" i="25"/>
  <c r="A33" i="25"/>
  <c r="B33" i="25"/>
  <c r="E32" i="25"/>
  <c r="D32" i="25"/>
  <c r="F32" i="25"/>
  <c r="C32" i="25"/>
  <c r="A32" i="25"/>
  <c r="B32" i="25"/>
  <c r="E31" i="25"/>
  <c r="D31" i="25"/>
  <c r="F31" i="25"/>
  <c r="C31" i="25"/>
  <c r="A31" i="25"/>
  <c r="B31" i="25"/>
  <c r="E30" i="25"/>
  <c r="D30" i="25"/>
  <c r="F30" i="25"/>
  <c r="C30" i="25"/>
  <c r="B30" i="25"/>
  <c r="A30" i="25"/>
  <c r="E29" i="25"/>
  <c r="D29" i="25"/>
  <c r="F29" i="25"/>
  <c r="C29" i="25"/>
  <c r="A29" i="25"/>
  <c r="B29" i="25"/>
  <c r="E28" i="25"/>
  <c r="D28" i="25"/>
  <c r="F28" i="25"/>
  <c r="C28" i="25"/>
  <c r="A28" i="25"/>
  <c r="B28" i="25"/>
  <c r="E27" i="25"/>
  <c r="D27" i="25"/>
  <c r="F27" i="25"/>
  <c r="C27" i="25"/>
  <c r="B27" i="25"/>
  <c r="A27" i="25"/>
  <c r="E26" i="25"/>
  <c r="D26" i="25"/>
  <c r="F26" i="25"/>
  <c r="C26" i="25"/>
  <c r="A26" i="25"/>
  <c r="B26" i="25"/>
  <c r="E25" i="25"/>
  <c r="D25" i="25"/>
  <c r="F25" i="25"/>
  <c r="C25" i="25"/>
  <c r="A25" i="25"/>
  <c r="B25" i="25"/>
  <c r="E24" i="25"/>
  <c r="D24" i="25"/>
  <c r="F24" i="25"/>
  <c r="C24" i="25"/>
  <c r="A24" i="25"/>
  <c r="B24" i="25"/>
  <c r="E23" i="25"/>
  <c r="D23" i="25"/>
  <c r="F23" i="25"/>
  <c r="C23" i="25"/>
  <c r="B23" i="25"/>
  <c r="A23" i="25"/>
  <c r="E22" i="25"/>
  <c r="D22" i="25"/>
  <c r="F22" i="25"/>
  <c r="C22" i="25"/>
  <c r="B22" i="25"/>
  <c r="A22" i="25"/>
  <c r="E21" i="25"/>
  <c r="D21" i="25"/>
  <c r="F21" i="25"/>
  <c r="C21" i="25"/>
  <c r="A21" i="25"/>
  <c r="B21" i="25"/>
  <c r="E20" i="25"/>
  <c r="D20" i="25"/>
  <c r="F20" i="25"/>
  <c r="C20" i="25"/>
  <c r="A20" i="25"/>
  <c r="B20" i="25"/>
  <c r="E19" i="25"/>
  <c r="D19" i="25"/>
  <c r="F19" i="25"/>
  <c r="C19" i="25"/>
  <c r="B19" i="25"/>
  <c r="A19" i="25"/>
  <c r="E18" i="25"/>
  <c r="D18" i="25"/>
  <c r="F18" i="25"/>
  <c r="C18" i="25"/>
  <c r="A18" i="25"/>
  <c r="B18" i="25"/>
  <c r="E17" i="25"/>
  <c r="D17" i="25"/>
  <c r="F17" i="25"/>
  <c r="C17" i="25"/>
  <c r="A17" i="25"/>
  <c r="B17" i="25"/>
  <c r="E16" i="25"/>
  <c r="D16" i="25"/>
  <c r="F16" i="25"/>
  <c r="C16" i="25"/>
  <c r="A16" i="25"/>
  <c r="B16" i="25"/>
  <c r="E15" i="25"/>
  <c r="D15" i="25"/>
  <c r="F15" i="25"/>
  <c r="C15" i="25"/>
  <c r="A15" i="25"/>
  <c r="B15" i="25"/>
  <c r="E14" i="25"/>
  <c r="D14" i="25"/>
  <c r="F14" i="25"/>
  <c r="C14" i="25"/>
  <c r="B14" i="25"/>
  <c r="A14" i="25"/>
  <c r="E13" i="25"/>
  <c r="D13" i="25"/>
  <c r="F13" i="25"/>
  <c r="C13" i="25"/>
  <c r="A13" i="25"/>
  <c r="B13" i="25"/>
  <c r="E12" i="25"/>
  <c r="D12" i="25"/>
  <c r="F12" i="25"/>
  <c r="C12" i="25"/>
  <c r="A12" i="25"/>
  <c r="B12" i="25"/>
  <c r="E11" i="25"/>
  <c r="D11" i="25"/>
  <c r="F11" i="25"/>
  <c r="C11" i="25"/>
  <c r="B11" i="25"/>
  <c r="A11" i="25"/>
  <c r="E10" i="25"/>
  <c r="D10" i="25"/>
  <c r="F10" i="25"/>
  <c r="C10" i="25"/>
  <c r="A10" i="25"/>
  <c r="B10" i="25"/>
  <c r="E9" i="25"/>
  <c r="D9" i="25"/>
  <c r="F9" i="25"/>
  <c r="C9" i="25"/>
  <c r="A9" i="25"/>
  <c r="B9" i="25"/>
  <c r="E8" i="25"/>
  <c r="D8" i="25"/>
  <c r="F8" i="25"/>
  <c r="C8" i="25"/>
  <c r="A8" i="25"/>
  <c r="B8" i="25"/>
  <c r="E7" i="25"/>
  <c r="D7" i="25"/>
  <c r="F7" i="25"/>
  <c r="C7" i="25"/>
  <c r="B7" i="25"/>
  <c r="A7" i="25"/>
  <c r="E6" i="25"/>
  <c r="D6" i="25"/>
  <c r="F6" i="25"/>
  <c r="C6" i="25"/>
  <c r="B6" i="25"/>
  <c r="A6" i="25"/>
  <c r="E5" i="25"/>
  <c r="D5" i="25"/>
  <c r="F5" i="25"/>
  <c r="C5" i="25"/>
  <c r="A5" i="25"/>
  <c r="B5" i="25"/>
  <c r="E4" i="25"/>
  <c r="D4" i="25"/>
  <c r="F4" i="25"/>
  <c r="C4" i="25"/>
  <c r="A4" i="25"/>
  <c r="B4" i="25"/>
  <c r="E86" i="24"/>
  <c r="D86" i="24"/>
  <c r="F86" i="24"/>
  <c r="C86" i="24"/>
  <c r="B86" i="24"/>
  <c r="A86" i="24"/>
  <c r="E85" i="24"/>
  <c r="D85" i="24"/>
  <c r="F85" i="24"/>
  <c r="C85" i="24"/>
  <c r="A85" i="24"/>
  <c r="B85" i="24"/>
  <c r="E84" i="24"/>
  <c r="D84" i="24"/>
  <c r="F84" i="24"/>
  <c r="C84" i="24"/>
  <c r="A84" i="24"/>
  <c r="B84" i="24"/>
  <c r="E83" i="24"/>
  <c r="D83" i="24"/>
  <c r="F83" i="24"/>
  <c r="C83" i="24"/>
  <c r="A83" i="24"/>
  <c r="B83" i="24"/>
  <c r="E82" i="24"/>
  <c r="D82" i="24"/>
  <c r="F82" i="24"/>
  <c r="C82" i="24"/>
  <c r="B82" i="24"/>
  <c r="A82" i="24"/>
  <c r="E81" i="24"/>
  <c r="D81" i="24"/>
  <c r="F81" i="24"/>
  <c r="C81" i="24"/>
  <c r="B81" i="24"/>
  <c r="A81" i="24"/>
  <c r="E80" i="24"/>
  <c r="D80" i="24"/>
  <c r="F80" i="24"/>
  <c r="C80" i="24"/>
  <c r="A80" i="24"/>
  <c r="B80" i="24"/>
  <c r="E79" i="24"/>
  <c r="D79" i="24"/>
  <c r="F79" i="24"/>
  <c r="C79" i="24"/>
  <c r="A79" i="24"/>
  <c r="B79" i="24"/>
  <c r="E78" i="24"/>
  <c r="D78" i="24"/>
  <c r="F78" i="24"/>
  <c r="C78" i="24"/>
  <c r="A78" i="24"/>
  <c r="B78" i="24"/>
  <c r="E77" i="24"/>
  <c r="D77" i="24"/>
  <c r="F77" i="24"/>
  <c r="C77" i="24"/>
  <c r="A77" i="24"/>
  <c r="B77" i="24"/>
  <c r="E76" i="24"/>
  <c r="D76" i="24"/>
  <c r="F76" i="24"/>
  <c r="C76" i="24"/>
  <c r="A76" i="24"/>
  <c r="B76" i="24"/>
  <c r="E75" i="24"/>
  <c r="D75" i="24"/>
  <c r="F75" i="24"/>
  <c r="C75" i="24"/>
  <c r="A75" i="24"/>
  <c r="B75" i="24"/>
  <c r="E74" i="24"/>
  <c r="D74" i="24"/>
  <c r="F74" i="24"/>
  <c r="C74" i="24"/>
  <c r="A74" i="24"/>
  <c r="B74" i="24"/>
  <c r="D73" i="24"/>
  <c r="F73" i="24"/>
  <c r="E73" i="24"/>
  <c r="C73" i="24"/>
  <c r="B73" i="24"/>
  <c r="A73" i="24"/>
  <c r="E72" i="24"/>
  <c r="D72" i="24"/>
  <c r="F72" i="24"/>
  <c r="C72" i="24"/>
  <c r="A72" i="24"/>
  <c r="B72" i="24"/>
  <c r="E71" i="24"/>
  <c r="D71" i="24"/>
  <c r="F71" i="24"/>
  <c r="C71" i="24"/>
  <c r="A71" i="24"/>
  <c r="B71" i="24"/>
  <c r="E70" i="24"/>
  <c r="D70" i="24"/>
  <c r="F70" i="24"/>
  <c r="C70" i="24"/>
  <c r="A70" i="24"/>
  <c r="B70" i="24"/>
  <c r="E69" i="24"/>
  <c r="D69" i="24"/>
  <c r="F69" i="24"/>
  <c r="C69" i="24"/>
  <c r="A69" i="24"/>
  <c r="B69" i="24"/>
  <c r="E68" i="24"/>
  <c r="D68" i="24"/>
  <c r="F68" i="24"/>
  <c r="C68" i="24"/>
  <c r="B68" i="24"/>
  <c r="A68" i="24"/>
  <c r="E67" i="24"/>
  <c r="D67" i="24"/>
  <c r="F67" i="24"/>
  <c r="C67" i="24"/>
  <c r="A67" i="24"/>
  <c r="B67" i="24"/>
  <c r="E66" i="24"/>
  <c r="D66" i="24"/>
  <c r="F66" i="24"/>
  <c r="C66" i="24"/>
  <c r="A66" i="24"/>
  <c r="B66" i="24"/>
  <c r="E65" i="24"/>
  <c r="D65" i="24"/>
  <c r="F65" i="24"/>
  <c r="C65" i="24"/>
  <c r="A65" i="24"/>
  <c r="B65" i="24"/>
  <c r="E64" i="24"/>
  <c r="D64" i="24"/>
  <c r="F64" i="24"/>
  <c r="C64" i="24"/>
  <c r="A64" i="24"/>
  <c r="B64" i="24"/>
  <c r="E63" i="24"/>
  <c r="D63" i="24"/>
  <c r="F63" i="24"/>
  <c r="C63" i="24"/>
  <c r="A63" i="24"/>
  <c r="B63" i="24"/>
  <c r="E62" i="24"/>
  <c r="D62" i="24"/>
  <c r="F62" i="24"/>
  <c r="C62" i="24"/>
  <c r="B62" i="24"/>
  <c r="A62" i="24"/>
  <c r="E61" i="24"/>
  <c r="D61" i="24"/>
  <c r="F61" i="24"/>
  <c r="C61" i="24"/>
  <c r="A61" i="24"/>
  <c r="B61" i="24"/>
  <c r="E60" i="24"/>
  <c r="D60" i="24"/>
  <c r="F60" i="24"/>
  <c r="C60" i="24"/>
  <c r="A60" i="24"/>
  <c r="B60" i="24"/>
  <c r="E59" i="24"/>
  <c r="D59" i="24"/>
  <c r="F59" i="24"/>
  <c r="C59" i="24"/>
  <c r="A59" i="24"/>
  <c r="B59" i="24"/>
  <c r="E58" i="24"/>
  <c r="D58" i="24"/>
  <c r="F58" i="24"/>
  <c r="C58" i="24"/>
  <c r="A58" i="24"/>
  <c r="B58" i="24"/>
  <c r="E57" i="24"/>
  <c r="D57" i="24"/>
  <c r="F57" i="24"/>
  <c r="C57" i="24"/>
  <c r="B57" i="24"/>
  <c r="A57" i="24"/>
  <c r="E56" i="24"/>
  <c r="D56" i="24"/>
  <c r="F56" i="24"/>
  <c r="C56" i="24"/>
  <c r="A56" i="24"/>
  <c r="B56" i="24"/>
  <c r="E55" i="24"/>
  <c r="D55" i="24"/>
  <c r="F55" i="24"/>
  <c r="C55" i="24"/>
  <c r="A55" i="24"/>
  <c r="B55" i="24"/>
  <c r="D54" i="24"/>
  <c r="F54" i="24"/>
  <c r="E54" i="24"/>
  <c r="C54" i="24"/>
  <c r="A54" i="24"/>
  <c r="B54" i="24"/>
  <c r="E53" i="24"/>
  <c r="D53" i="24"/>
  <c r="F53" i="24"/>
  <c r="C53" i="24"/>
  <c r="A53" i="24"/>
  <c r="B53" i="24"/>
  <c r="E52" i="24"/>
  <c r="D52" i="24"/>
  <c r="F52" i="24"/>
  <c r="C52" i="24"/>
  <c r="B52" i="24"/>
  <c r="A52" i="24"/>
  <c r="E51" i="24"/>
  <c r="D51" i="24"/>
  <c r="F51" i="24"/>
  <c r="C51" i="24"/>
  <c r="A51" i="24"/>
  <c r="B51" i="24"/>
  <c r="E50" i="24"/>
  <c r="D50" i="24"/>
  <c r="F50" i="24"/>
  <c r="C50" i="24"/>
  <c r="A50" i="24"/>
  <c r="B50" i="24"/>
  <c r="E49" i="24"/>
  <c r="D49" i="24"/>
  <c r="F49" i="24"/>
  <c r="C49" i="24"/>
  <c r="A49" i="24"/>
  <c r="B49" i="24"/>
  <c r="E48" i="24"/>
  <c r="D48" i="24"/>
  <c r="F48" i="24"/>
  <c r="C48" i="24"/>
  <c r="A48" i="24"/>
  <c r="B48" i="24"/>
  <c r="E47" i="24"/>
  <c r="D47" i="24"/>
  <c r="F47" i="24"/>
  <c r="C47" i="24"/>
  <c r="A47" i="24"/>
  <c r="B47" i="24"/>
  <c r="E46" i="24"/>
  <c r="D46" i="24"/>
  <c r="F46" i="24"/>
  <c r="C46" i="24"/>
  <c r="A46" i="24"/>
  <c r="B46" i="24"/>
  <c r="E45" i="24"/>
  <c r="D45" i="24"/>
  <c r="F45" i="24"/>
  <c r="C45" i="24"/>
  <c r="B45" i="24"/>
  <c r="A45" i="24"/>
  <c r="D44" i="24"/>
  <c r="F44" i="24"/>
  <c r="E44" i="24"/>
  <c r="C44" i="24"/>
  <c r="A44" i="24"/>
  <c r="B44" i="24"/>
  <c r="E43" i="24"/>
  <c r="D43" i="24"/>
  <c r="F43" i="24"/>
  <c r="C43" i="24"/>
  <c r="A43" i="24"/>
  <c r="B43" i="24"/>
  <c r="E42" i="24"/>
  <c r="D42" i="24"/>
  <c r="F42" i="24"/>
  <c r="C42" i="24"/>
  <c r="A42" i="24"/>
  <c r="B42" i="24"/>
  <c r="E41" i="24"/>
  <c r="D41" i="24"/>
  <c r="F41" i="24"/>
  <c r="C41" i="24"/>
  <c r="B41" i="24"/>
  <c r="A41" i="24"/>
  <c r="E40" i="24"/>
  <c r="D40" i="24"/>
  <c r="F40" i="24"/>
  <c r="C40" i="24"/>
  <c r="A40" i="24"/>
  <c r="B40" i="24"/>
  <c r="E39" i="24"/>
  <c r="D39" i="24"/>
  <c r="F39" i="24"/>
  <c r="C39" i="24"/>
  <c r="A39" i="24"/>
  <c r="B39" i="24"/>
  <c r="E38" i="24"/>
  <c r="D38" i="24"/>
  <c r="F38" i="24"/>
  <c r="C38" i="24"/>
  <c r="B38" i="24"/>
  <c r="A38" i="24"/>
  <c r="E37" i="24"/>
  <c r="D37" i="24"/>
  <c r="F37" i="24"/>
  <c r="C37" i="24"/>
  <c r="A37" i="24"/>
  <c r="B37" i="24"/>
  <c r="E36" i="24"/>
  <c r="D36" i="24"/>
  <c r="F36" i="24"/>
  <c r="C36" i="24"/>
  <c r="B36" i="24"/>
  <c r="A36" i="24"/>
  <c r="E35" i="24"/>
  <c r="D35" i="24"/>
  <c r="F35" i="24"/>
  <c r="C35" i="24"/>
  <c r="A35" i="24"/>
  <c r="B35" i="24"/>
  <c r="E34" i="24"/>
  <c r="D34" i="24"/>
  <c r="F34" i="24"/>
  <c r="C34" i="24"/>
  <c r="A34" i="24"/>
  <c r="B34" i="24"/>
  <c r="D33" i="24"/>
  <c r="F33" i="24"/>
  <c r="E33" i="24"/>
  <c r="C33" i="24"/>
  <c r="B33" i="24"/>
  <c r="A33" i="24"/>
  <c r="E32" i="24"/>
  <c r="D32" i="24"/>
  <c r="F32" i="24"/>
  <c r="C32" i="24"/>
  <c r="A32" i="24"/>
  <c r="B32" i="24"/>
  <c r="E31" i="24"/>
  <c r="D31" i="24"/>
  <c r="F31" i="24"/>
  <c r="C31" i="24"/>
  <c r="A31" i="24"/>
  <c r="B31" i="24"/>
  <c r="D30" i="24"/>
  <c r="F30" i="24"/>
  <c r="E30" i="24"/>
  <c r="C30" i="24"/>
  <c r="B30" i="24"/>
  <c r="A30" i="24"/>
  <c r="E29" i="24"/>
  <c r="D29" i="24"/>
  <c r="F29" i="24"/>
  <c r="C29" i="24"/>
  <c r="A29" i="24"/>
  <c r="B29" i="24"/>
  <c r="E28" i="24"/>
  <c r="D28" i="24"/>
  <c r="F28" i="24"/>
  <c r="C28" i="24"/>
  <c r="B28" i="24"/>
  <c r="A28" i="24"/>
  <c r="E27" i="24"/>
  <c r="D27" i="24"/>
  <c r="F27" i="24"/>
  <c r="C27" i="24"/>
  <c r="A27" i="24"/>
  <c r="B27" i="24"/>
  <c r="E26" i="24"/>
  <c r="D26" i="24"/>
  <c r="F26" i="24"/>
  <c r="C26" i="24"/>
  <c r="A26" i="24"/>
  <c r="B26" i="24"/>
  <c r="E25" i="24"/>
  <c r="D25" i="24"/>
  <c r="F25" i="24"/>
  <c r="C25" i="24"/>
  <c r="B25" i="24"/>
  <c r="A25" i="24"/>
  <c r="E24" i="24"/>
  <c r="D24" i="24"/>
  <c r="F24" i="24"/>
  <c r="C24" i="24"/>
  <c r="A24" i="24"/>
  <c r="B24" i="24"/>
  <c r="E23" i="24"/>
  <c r="D23" i="24"/>
  <c r="F23" i="24"/>
  <c r="C23" i="24"/>
  <c r="A23" i="24"/>
  <c r="B23" i="24"/>
  <c r="E22" i="24"/>
  <c r="D22" i="24"/>
  <c r="F22" i="24"/>
  <c r="C22" i="24"/>
  <c r="A22" i="24"/>
  <c r="B22" i="24"/>
  <c r="E21" i="24"/>
  <c r="D21" i="24"/>
  <c r="F21" i="24"/>
  <c r="C21" i="24"/>
  <c r="A21" i="24"/>
  <c r="B21" i="24"/>
  <c r="E20" i="24"/>
  <c r="D20" i="24"/>
  <c r="F20" i="24"/>
  <c r="C20" i="24"/>
  <c r="B20" i="24"/>
  <c r="A20" i="24"/>
  <c r="E19" i="24"/>
  <c r="D19" i="24"/>
  <c r="F19" i="24"/>
  <c r="C19" i="24"/>
  <c r="A19" i="24"/>
  <c r="B19" i="24"/>
  <c r="E18" i="24"/>
  <c r="D18" i="24"/>
  <c r="F18" i="24"/>
  <c r="C18" i="24"/>
  <c r="A18" i="24"/>
  <c r="B18" i="24"/>
  <c r="E17" i="24"/>
  <c r="D17" i="24"/>
  <c r="F17" i="24"/>
  <c r="C17" i="24"/>
  <c r="A17" i="24"/>
  <c r="B17" i="24"/>
  <c r="E16" i="24"/>
  <c r="D16" i="24"/>
  <c r="F16" i="24"/>
  <c r="C16" i="24"/>
  <c r="A16" i="24"/>
  <c r="B16" i="24"/>
  <c r="E15" i="24"/>
  <c r="D15" i="24"/>
  <c r="F15" i="24"/>
  <c r="C15" i="24"/>
  <c r="A15" i="24"/>
  <c r="B15" i="24"/>
  <c r="E14" i="24"/>
  <c r="D14" i="24"/>
  <c r="F14" i="24"/>
  <c r="C14" i="24"/>
  <c r="B14" i="24"/>
  <c r="A14" i="24"/>
  <c r="E13" i="24"/>
  <c r="D13" i="24"/>
  <c r="F13" i="24"/>
  <c r="C13" i="24"/>
  <c r="A13" i="24"/>
  <c r="B13" i="24"/>
  <c r="E12" i="24"/>
  <c r="D12" i="24"/>
  <c r="F12" i="24"/>
  <c r="C12" i="24"/>
  <c r="A12" i="24"/>
  <c r="B12" i="24"/>
  <c r="E11" i="24"/>
  <c r="D11" i="24"/>
  <c r="F11" i="24"/>
  <c r="C11" i="24"/>
  <c r="A11" i="24"/>
  <c r="B11" i="24"/>
  <c r="D10" i="24"/>
  <c r="F10" i="24"/>
  <c r="E10" i="24"/>
  <c r="C10" i="24"/>
  <c r="A10" i="24"/>
  <c r="B10" i="24"/>
  <c r="E9" i="24"/>
  <c r="D9" i="24"/>
  <c r="F9" i="24"/>
  <c r="C9" i="24"/>
  <c r="B9" i="24"/>
  <c r="A9" i="24"/>
  <c r="E8" i="24"/>
  <c r="D8" i="24"/>
  <c r="F8" i="24"/>
  <c r="C8" i="24"/>
  <c r="A8" i="24"/>
  <c r="B8" i="24"/>
  <c r="E7" i="24"/>
  <c r="D7" i="24"/>
  <c r="F7" i="24"/>
  <c r="C7" i="24"/>
  <c r="A7" i="24"/>
  <c r="B7" i="24"/>
  <c r="E6" i="24"/>
  <c r="D6" i="24"/>
  <c r="F6" i="24"/>
  <c r="C6" i="24"/>
  <c r="B6" i="24"/>
  <c r="A6" i="24"/>
  <c r="E5" i="24"/>
  <c r="D5" i="24"/>
  <c r="F5" i="24"/>
  <c r="C5" i="24"/>
  <c r="A5" i="24"/>
  <c r="B5" i="24"/>
  <c r="E4" i="24"/>
  <c r="D4" i="24"/>
  <c r="F4" i="24"/>
  <c r="C4" i="24"/>
  <c r="B4" i="24"/>
  <c r="A4" i="24"/>
  <c r="E86" i="23"/>
  <c r="D86" i="23"/>
  <c r="F86" i="23"/>
  <c r="C86" i="23"/>
  <c r="A86" i="23"/>
  <c r="B86" i="23"/>
  <c r="E85" i="23"/>
  <c r="D85" i="23"/>
  <c r="F85" i="23"/>
  <c r="C85" i="23"/>
  <c r="A85" i="23"/>
  <c r="B85" i="23"/>
  <c r="E84" i="23"/>
  <c r="D84" i="23"/>
  <c r="F84" i="23"/>
  <c r="C84" i="23"/>
  <c r="A84" i="23"/>
  <c r="B84" i="23"/>
  <c r="E83" i="23"/>
  <c r="D83" i="23"/>
  <c r="F83" i="23"/>
  <c r="C83" i="23"/>
  <c r="A83" i="23"/>
  <c r="B83" i="23"/>
  <c r="E82" i="23"/>
  <c r="D82" i="23"/>
  <c r="F82" i="23"/>
  <c r="C82" i="23"/>
  <c r="B82" i="23"/>
  <c r="A82" i="23"/>
  <c r="E81" i="23"/>
  <c r="D81" i="23"/>
  <c r="F81" i="23"/>
  <c r="C81" i="23"/>
  <c r="A81" i="23"/>
  <c r="B81" i="23"/>
  <c r="E80" i="23"/>
  <c r="D80" i="23"/>
  <c r="F80" i="23"/>
  <c r="C80" i="23"/>
  <c r="A80" i="23"/>
  <c r="B80" i="23"/>
  <c r="E79" i="23"/>
  <c r="D79" i="23"/>
  <c r="F79" i="23"/>
  <c r="C79" i="23"/>
  <c r="A79" i="23"/>
  <c r="B79" i="23"/>
  <c r="E78" i="23"/>
  <c r="D78" i="23"/>
  <c r="F78" i="23"/>
  <c r="C78" i="23"/>
  <c r="A78" i="23"/>
  <c r="B78" i="23"/>
  <c r="E77" i="23"/>
  <c r="D77" i="23"/>
  <c r="F77" i="23"/>
  <c r="C77" i="23"/>
  <c r="A77" i="23"/>
  <c r="B77" i="23"/>
  <c r="E76" i="23"/>
  <c r="D76" i="23"/>
  <c r="F76" i="23"/>
  <c r="C76" i="23"/>
  <c r="A76" i="23"/>
  <c r="B76" i="23"/>
  <c r="E75" i="23"/>
  <c r="D75" i="23"/>
  <c r="F75" i="23"/>
  <c r="C75" i="23"/>
  <c r="A75" i="23"/>
  <c r="B75" i="23"/>
  <c r="E74" i="23"/>
  <c r="D74" i="23"/>
  <c r="F74" i="23"/>
  <c r="C74" i="23"/>
  <c r="A74" i="23"/>
  <c r="B74" i="23"/>
  <c r="E73" i="23"/>
  <c r="D73" i="23"/>
  <c r="F73" i="23"/>
  <c r="C73" i="23"/>
  <c r="A73" i="23"/>
  <c r="B73" i="23"/>
  <c r="E72" i="23"/>
  <c r="D72" i="23"/>
  <c r="F72" i="23"/>
  <c r="C72" i="23"/>
  <c r="B72" i="23"/>
  <c r="A72" i="23"/>
  <c r="E71" i="23"/>
  <c r="D71" i="23"/>
  <c r="F71" i="23"/>
  <c r="C71" i="23"/>
  <c r="A71" i="23"/>
  <c r="B71" i="23"/>
  <c r="E70" i="23"/>
  <c r="D70" i="23"/>
  <c r="F70" i="23"/>
  <c r="C70" i="23"/>
  <c r="B70" i="23"/>
  <c r="A70" i="23"/>
  <c r="E69" i="23"/>
  <c r="D69" i="23"/>
  <c r="F69" i="23"/>
  <c r="C69" i="23"/>
  <c r="A69" i="23"/>
  <c r="B69" i="23"/>
  <c r="E68" i="23"/>
  <c r="D68" i="23"/>
  <c r="F68" i="23"/>
  <c r="C68" i="23"/>
  <c r="A68" i="23"/>
  <c r="B68" i="23"/>
  <c r="E67" i="23"/>
  <c r="D67" i="23"/>
  <c r="F67" i="23"/>
  <c r="C67" i="23"/>
  <c r="A67" i="23"/>
  <c r="B67" i="23"/>
  <c r="E66" i="23"/>
  <c r="D66" i="23"/>
  <c r="F66" i="23"/>
  <c r="C66" i="23"/>
  <c r="A66" i="23"/>
  <c r="B66" i="23"/>
  <c r="E65" i="23"/>
  <c r="D65" i="23"/>
  <c r="F65" i="23"/>
  <c r="C65" i="23"/>
  <c r="A65" i="23"/>
  <c r="B65" i="23"/>
  <c r="E64" i="23"/>
  <c r="D64" i="23"/>
  <c r="F64" i="23"/>
  <c r="C64" i="23"/>
  <c r="B64" i="23"/>
  <c r="A64" i="23"/>
  <c r="E63" i="23"/>
  <c r="D63" i="23"/>
  <c r="F63" i="23"/>
  <c r="C63" i="23"/>
  <c r="A63" i="23"/>
  <c r="B63" i="23"/>
  <c r="E62" i="23"/>
  <c r="D62" i="23"/>
  <c r="F62" i="23"/>
  <c r="C62" i="23"/>
  <c r="B62" i="23"/>
  <c r="A62" i="23"/>
  <c r="E61" i="23"/>
  <c r="D61" i="23"/>
  <c r="F61" i="23"/>
  <c r="C61" i="23"/>
  <c r="A61" i="23"/>
  <c r="B61" i="23"/>
  <c r="E60" i="23"/>
  <c r="D60" i="23"/>
  <c r="F60" i="23"/>
  <c r="C60" i="23"/>
  <c r="A60" i="23"/>
  <c r="B60" i="23"/>
  <c r="E59" i="23"/>
  <c r="D59" i="23"/>
  <c r="F59" i="23"/>
  <c r="C59" i="23"/>
  <c r="A59" i="23"/>
  <c r="B59" i="23"/>
  <c r="E58" i="23"/>
  <c r="D58" i="23"/>
  <c r="F58" i="23"/>
  <c r="C58" i="23"/>
  <c r="A58" i="23"/>
  <c r="B58" i="23"/>
  <c r="E57" i="23"/>
  <c r="D57" i="23"/>
  <c r="F57" i="23"/>
  <c r="C57" i="23"/>
  <c r="A57" i="23"/>
  <c r="B57" i="23"/>
  <c r="D56" i="23"/>
  <c r="F56" i="23"/>
  <c r="C56" i="23"/>
  <c r="B56" i="23"/>
  <c r="A56" i="23"/>
  <c r="E55" i="23"/>
  <c r="D55" i="23"/>
  <c r="F55" i="23"/>
  <c r="C55" i="23"/>
  <c r="A55" i="23"/>
  <c r="B55" i="23"/>
  <c r="E54" i="23"/>
  <c r="D54" i="23"/>
  <c r="F54" i="23"/>
  <c r="C54" i="23"/>
  <c r="B54" i="23"/>
  <c r="A54" i="23"/>
  <c r="E53" i="23"/>
  <c r="D53" i="23"/>
  <c r="F53" i="23"/>
  <c r="C53" i="23"/>
  <c r="A53" i="23"/>
  <c r="B53" i="23"/>
  <c r="E52" i="23"/>
  <c r="D52" i="23"/>
  <c r="F52" i="23"/>
  <c r="C52" i="23"/>
  <c r="A52" i="23"/>
  <c r="B52" i="23"/>
  <c r="E51" i="23"/>
  <c r="D51" i="23"/>
  <c r="F51" i="23"/>
  <c r="C51" i="23"/>
  <c r="A51" i="23"/>
  <c r="B51" i="23"/>
  <c r="E50" i="23"/>
  <c r="D50" i="23"/>
  <c r="F50" i="23"/>
  <c r="C50" i="23"/>
  <c r="A50" i="23"/>
  <c r="B50" i="23"/>
  <c r="E49" i="23"/>
  <c r="D49" i="23"/>
  <c r="F49" i="23"/>
  <c r="C49" i="23"/>
  <c r="A49" i="23"/>
  <c r="B49" i="23"/>
  <c r="E48" i="23"/>
  <c r="D48" i="23"/>
  <c r="F48" i="23"/>
  <c r="C48" i="23"/>
  <c r="B48" i="23"/>
  <c r="A48" i="23"/>
  <c r="E47" i="23"/>
  <c r="D47" i="23"/>
  <c r="F47" i="23"/>
  <c r="C47" i="23"/>
  <c r="A47" i="23"/>
  <c r="B47" i="23"/>
  <c r="E46" i="23"/>
  <c r="D46" i="23"/>
  <c r="F46" i="23"/>
  <c r="C46" i="23"/>
  <c r="B46" i="23"/>
  <c r="A46" i="23"/>
  <c r="E45" i="23"/>
  <c r="D45" i="23"/>
  <c r="F45" i="23"/>
  <c r="C45" i="23"/>
  <c r="A45" i="23"/>
  <c r="B45" i="23"/>
  <c r="E44" i="23"/>
  <c r="D44" i="23"/>
  <c r="F44" i="23"/>
  <c r="C44" i="23"/>
  <c r="A44" i="23"/>
  <c r="B44" i="23"/>
  <c r="E43" i="23"/>
  <c r="D43" i="23"/>
  <c r="F43" i="23"/>
  <c r="C43" i="23"/>
  <c r="A43" i="23"/>
  <c r="B43" i="23"/>
  <c r="E42" i="23"/>
  <c r="D42" i="23"/>
  <c r="F42" i="23"/>
  <c r="C42" i="23"/>
  <c r="A42" i="23"/>
  <c r="B42" i="23"/>
  <c r="E41" i="23"/>
  <c r="D41" i="23"/>
  <c r="F41" i="23"/>
  <c r="C41" i="23"/>
  <c r="A41" i="23"/>
  <c r="B41" i="23"/>
  <c r="E40" i="23"/>
  <c r="D40" i="23"/>
  <c r="F40" i="23"/>
  <c r="C40" i="23"/>
  <c r="B40" i="23"/>
  <c r="A40" i="23"/>
  <c r="E39" i="23"/>
  <c r="D39" i="23"/>
  <c r="F39" i="23"/>
  <c r="C39" i="23"/>
  <c r="A39" i="23"/>
  <c r="B39" i="23"/>
  <c r="E38" i="23"/>
  <c r="D38" i="23"/>
  <c r="F38" i="23"/>
  <c r="C38" i="23"/>
  <c r="B38" i="23"/>
  <c r="A38" i="23"/>
  <c r="E37" i="23"/>
  <c r="D37" i="23"/>
  <c r="F37" i="23"/>
  <c r="C37" i="23"/>
  <c r="A37" i="23"/>
  <c r="B37" i="23"/>
  <c r="E36" i="23"/>
  <c r="D36" i="23"/>
  <c r="F36" i="23"/>
  <c r="C36" i="23"/>
  <c r="A36" i="23"/>
  <c r="B36" i="23"/>
  <c r="E35" i="23"/>
  <c r="D35" i="23"/>
  <c r="F35" i="23"/>
  <c r="C35" i="23"/>
  <c r="A35" i="23"/>
  <c r="B35" i="23"/>
  <c r="E34" i="23"/>
  <c r="D34" i="23"/>
  <c r="F34" i="23"/>
  <c r="C34" i="23"/>
  <c r="A34" i="23"/>
  <c r="B34" i="23"/>
  <c r="E33" i="23"/>
  <c r="D33" i="23"/>
  <c r="F33" i="23"/>
  <c r="C33" i="23"/>
  <c r="A33" i="23"/>
  <c r="B33" i="23"/>
  <c r="E32" i="23"/>
  <c r="D32" i="23"/>
  <c r="F32" i="23"/>
  <c r="C32" i="23"/>
  <c r="B32" i="23"/>
  <c r="A32" i="23"/>
  <c r="E31" i="23"/>
  <c r="D31" i="23"/>
  <c r="F31" i="23"/>
  <c r="C31" i="23"/>
  <c r="A31" i="23"/>
  <c r="B31" i="23"/>
  <c r="E30" i="23"/>
  <c r="D30" i="23"/>
  <c r="F30" i="23"/>
  <c r="C30" i="23"/>
  <c r="B30" i="23"/>
  <c r="A30" i="23"/>
  <c r="E29" i="23"/>
  <c r="D29" i="23"/>
  <c r="F29" i="23"/>
  <c r="C29" i="23"/>
  <c r="A29" i="23"/>
  <c r="B29" i="23"/>
  <c r="E28" i="23"/>
  <c r="D28" i="23"/>
  <c r="F28" i="23"/>
  <c r="C28" i="23"/>
  <c r="A28" i="23"/>
  <c r="B28" i="23"/>
  <c r="E27" i="23"/>
  <c r="D27" i="23"/>
  <c r="F27" i="23"/>
  <c r="C27" i="23"/>
  <c r="A27" i="23"/>
  <c r="B27" i="23"/>
  <c r="E26" i="23"/>
  <c r="D26" i="23"/>
  <c r="F26" i="23"/>
  <c r="C26" i="23"/>
  <c r="A26" i="23"/>
  <c r="B26" i="23"/>
  <c r="E25" i="23"/>
  <c r="D25" i="23"/>
  <c r="F25" i="23"/>
  <c r="C25" i="23"/>
  <c r="A25" i="23"/>
  <c r="B25" i="23"/>
  <c r="E24" i="23"/>
  <c r="D24" i="23"/>
  <c r="F24" i="23"/>
  <c r="C24" i="23"/>
  <c r="A24" i="23"/>
  <c r="B24" i="23"/>
  <c r="E23" i="23"/>
  <c r="D23" i="23"/>
  <c r="F23" i="23"/>
  <c r="C23" i="23"/>
  <c r="A23" i="23"/>
  <c r="B23" i="23"/>
  <c r="E22" i="23"/>
  <c r="D22" i="23"/>
  <c r="F22" i="23"/>
  <c r="C22" i="23"/>
  <c r="B22" i="23"/>
  <c r="A22" i="23"/>
  <c r="E21" i="23"/>
  <c r="D21" i="23"/>
  <c r="F21" i="23"/>
  <c r="C21" i="23"/>
  <c r="A21" i="23"/>
  <c r="B21" i="23"/>
  <c r="E20" i="23"/>
  <c r="D20" i="23"/>
  <c r="F20" i="23"/>
  <c r="C20" i="23"/>
  <c r="A20" i="23"/>
  <c r="B20" i="23"/>
  <c r="E19" i="23"/>
  <c r="D19" i="23"/>
  <c r="F19" i="23"/>
  <c r="C19" i="23"/>
  <c r="A19" i="23"/>
  <c r="B19" i="23"/>
  <c r="E18" i="23"/>
  <c r="D18" i="23"/>
  <c r="F18" i="23"/>
  <c r="C18" i="23"/>
  <c r="A18" i="23"/>
  <c r="B18" i="23"/>
  <c r="E17" i="23"/>
  <c r="D17" i="23"/>
  <c r="F17" i="23"/>
  <c r="C17" i="23"/>
  <c r="A17" i="23"/>
  <c r="B17" i="23"/>
  <c r="E16" i="23"/>
  <c r="D16" i="23"/>
  <c r="F16" i="23"/>
  <c r="C16" i="23"/>
  <c r="A16" i="23"/>
  <c r="B16" i="23"/>
  <c r="E15" i="23"/>
  <c r="D15" i="23"/>
  <c r="F15" i="23"/>
  <c r="C15" i="23"/>
  <c r="A15" i="23"/>
  <c r="B15" i="23"/>
  <c r="E14" i="23"/>
  <c r="D14" i="23"/>
  <c r="F14" i="23"/>
  <c r="C14" i="23"/>
  <c r="B14" i="23"/>
  <c r="A14" i="23"/>
  <c r="D13" i="23"/>
  <c r="F13" i="23"/>
  <c r="E13" i="23"/>
  <c r="C13" i="23"/>
  <c r="A13" i="23"/>
  <c r="B13" i="23"/>
  <c r="E12" i="23"/>
  <c r="D12" i="23"/>
  <c r="F12" i="23"/>
  <c r="C12" i="23"/>
  <c r="A12" i="23"/>
  <c r="B12" i="23"/>
  <c r="E11" i="23"/>
  <c r="D11" i="23"/>
  <c r="F11" i="23"/>
  <c r="C11" i="23"/>
  <c r="A11" i="23"/>
  <c r="B11" i="23"/>
  <c r="E10" i="23"/>
  <c r="D10" i="23"/>
  <c r="F10" i="23"/>
  <c r="C10" i="23"/>
  <c r="A10" i="23"/>
  <c r="B10" i="23"/>
  <c r="E9" i="23"/>
  <c r="D9" i="23"/>
  <c r="F9" i="23"/>
  <c r="C9" i="23"/>
  <c r="A9" i="23"/>
  <c r="B9" i="23"/>
  <c r="E8" i="23"/>
  <c r="D8" i="23"/>
  <c r="F8" i="23"/>
  <c r="C8" i="23"/>
  <c r="A8" i="23"/>
  <c r="B8" i="23"/>
  <c r="E7" i="23"/>
  <c r="D7" i="23"/>
  <c r="F7" i="23"/>
  <c r="C7" i="23"/>
  <c r="A7" i="23"/>
  <c r="B7" i="23"/>
  <c r="E6" i="23"/>
  <c r="D6" i="23"/>
  <c r="F6" i="23"/>
  <c r="C6" i="23"/>
  <c r="B6" i="23"/>
  <c r="A6" i="23"/>
  <c r="E5" i="23"/>
  <c r="D5" i="23"/>
  <c r="F5" i="23"/>
  <c r="C5" i="23"/>
  <c r="A5" i="23"/>
  <c r="B5" i="23"/>
  <c r="E4" i="23"/>
  <c r="D4" i="23"/>
  <c r="F4" i="23"/>
  <c r="C4" i="23"/>
  <c r="A4" i="23"/>
  <c r="B4" i="23"/>
  <c r="E86" i="22"/>
  <c r="D86" i="22"/>
  <c r="F86" i="22"/>
  <c r="C86" i="22"/>
  <c r="A86" i="22"/>
  <c r="B86" i="22"/>
  <c r="E85" i="22"/>
  <c r="D85" i="22"/>
  <c r="F85" i="22"/>
  <c r="C85" i="22"/>
  <c r="A85" i="22"/>
  <c r="B85" i="22"/>
  <c r="E84" i="22"/>
  <c r="D84" i="22"/>
  <c r="F84" i="22"/>
  <c r="C84" i="22"/>
  <c r="A84" i="22"/>
  <c r="B84" i="22"/>
  <c r="E83" i="22"/>
  <c r="D83" i="22"/>
  <c r="F83" i="22"/>
  <c r="C83" i="22"/>
  <c r="A83" i="22"/>
  <c r="B83" i="22"/>
  <c r="E82" i="22"/>
  <c r="D82" i="22"/>
  <c r="F82" i="22"/>
  <c r="C82" i="22"/>
  <c r="A82" i="22"/>
  <c r="B82" i="22"/>
  <c r="E81" i="22"/>
  <c r="D81" i="22"/>
  <c r="F81" i="22"/>
  <c r="C81" i="22"/>
  <c r="A81" i="22"/>
  <c r="B81" i="22"/>
  <c r="E80" i="22"/>
  <c r="D80" i="22"/>
  <c r="F80" i="22"/>
  <c r="C80" i="22"/>
  <c r="A80" i="22"/>
  <c r="B80" i="22"/>
  <c r="E79" i="22"/>
  <c r="D79" i="22"/>
  <c r="F79" i="22"/>
  <c r="C79" i="22"/>
  <c r="A79" i="22"/>
  <c r="B79" i="22"/>
  <c r="E78" i="22"/>
  <c r="D78" i="22"/>
  <c r="F78" i="22"/>
  <c r="C78" i="22"/>
  <c r="A78" i="22"/>
  <c r="B78" i="22"/>
  <c r="E77" i="22"/>
  <c r="D77" i="22"/>
  <c r="F77" i="22"/>
  <c r="C77" i="22"/>
  <c r="A77" i="22"/>
  <c r="B77" i="22"/>
  <c r="E76" i="22"/>
  <c r="D76" i="22"/>
  <c r="F76" i="22"/>
  <c r="C76" i="22"/>
  <c r="A76" i="22"/>
  <c r="B76" i="22"/>
  <c r="E75" i="22"/>
  <c r="D75" i="22"/>
  <c r="F75" i="22"/>
  <c r="C75" i="22"/>
  <c r="A75" i="22"/>
  <c r="B75" i="22"/>
  <c r="E74" i="22"/>
  <c r="D74" i="22"/>
  <c r="F74" i="22"/>
  <c r="C74" i="22"/>
  <c r="A74" i="22"/>
  <c r="B74" i="22"/>
  <c r="E73" i="22"/>
  <c r="D73" i="22"/>
  <c r="F73" i="22"/>
  <c r="C73" i="22"/>
  <c r="A73" i="22"/>
  <c r="B73" i="22"/>
  <c r="E72" i="22"/>
  <c r="D72" i="22"/>
  <c r="F72" i="22"/>
  <c r="C72" i="22"/>
  <c r="A72" i="22"/>
  <c r="B72" i="22"/>
  <c r="E71" i="22"/>
  <c r="D71" i="22"/>
  <c r="F71" i="22"/>
  <c r="C71" i="22"/>
  <c r="A71" i="22"/>
  <c r="B71" i="22"/>
  <c r="E70" i="22"/>
  <c r="D70" i="22"/>
  <c r="F70" i="22"/>
  <c r="C70" i="22"/>
  <c r="A70" i="22"/>
  <c r="B70" i="22"/>
  <c r="B5" i="22"/>
  <c r="B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55" i="22"/>
  <c r="B56" i="22"/>
  <c r="B57" i="22"/>
  <c r="B58" i="22"/>
  <c r="B59" i="22"/>
  <c r="B60" i="22"/>
  <c r="B61" i="22"/>
  <c r="B62" i="22"/>
  <c r="B63" i="22"/>
  <c r="B64" i="22"/>
  <c r="B65" i="22"/>
  <c r="B66" i="22"/>
  <c r="B67" i="22"/>
  <c r="B68" i="22"/>
  <c r="B69" i="22"/>
  <c r="B4" i="22"/>
  <c r="E69" i="22"/>
  <c r="D69" i="22"/>
  <c r="F69" i="22"/>
  <c r="C69" i="22"/>
  <c r="A69" i="22"/>
  <c r="E68" i="22"/>
  <c r="D68" i="22"/>
  <c r="F68" i="22"/>
  <c r="C68" i="22"/>
  <c r="A68" i="22"/>
  <c r="E67" i="22"/>
  <c r="D67" i="22"/>
  <c r="F67" i="22"/>
  <c r="C67" i="22"/>
  <c r="A67" i="22"/>
  <c r="E66" i="22"/>
  <c r="D66" i="22"/>
  <c r="F66" i="22"/>
  <c r="C66" i="22"/>
  <c r="A66" i="22"/>
  <c r="E65" i="22"/>
  <c r="D65" i="22"/>
  <c r="F65" i="22"/>
  <c r="C65" i="22"/>
  <c r="A65" i="22"/>
  <c r="E64" i="22"/>
  <c r="D64" i="22"/>
  <c r="F64" i="22"/>
  <c r="C64" i="22"/>
  <c r="A64" i="22"/>
  <c r="E63" i="22"/>
  <c r="D63" i="22"/>
  <c r="F63" i="22"/>
  <c r="C63" i="22"/>
  <c r="A63" i="22"/>
  <c r="E62" i="22"/>
  <c r="D62" i="22"/>
  <c r="F62" i="22"/>
  <c r="C62" i="22"/>
  <c r="A62" i="22"/>
  <c r="E61" i="22"/>
  <c r="D61" i="22"/>
  <c r="F61" i="22"/>
  <c r="C61" i="22"/>
  <c r="A61" i="22"/>
  <c r="E60" i="22"/>
  <c r="D60" i="22"/>
  <c r="F60" i="22"/>
  <c r="C60" i="22"/>
  <c r="A60" i="22"/>
  <c r="E59" i="22"/>
  <c r="D59" i="22"/>
  <c r="F59" i="22"/>
  <c r="C59" i="22"/>
  <c r="A59" i="22"/>
  <c r="E58" i="22"/>
  <c r="D58" i="22"/>
  <c r="F58" i="22"/>
  <c r="C58" i="22"/>
  <c r="A58" i="22"/>
  <c r="E57" i="22"/>
  <c r="D57" i="22"/>
  <c r="F57" i="22"/>
  <c r="C57" i="22"/>
  <c r="A57" i="22"/>
  <c r="D56" i="22"/>
  <c r="F56" i="22"/>
  <c r="C56" i="22"/>
  <c r="A56" i="22"/>
  <c r="E55" i="22"/>
  <c r="D55" i="22"/>
  <c r="F55" i="22"/>
  <c r="C55" i="22"/>
  <c r="A55" i="22"/>
  <c r="E54" i="22"/>
  <c r="D54" i="22"/>
  <c r="F54" i="22"/>
  <c r="C54" i="22"/>
  <c r="A54" i="22"/>
  <c r="E53" i="22"/>
  <c r="D53" i="22"/>
  <c r="F53" i="22"/>
  <c r="C53" i="22"/>
  <c r="A53" i="22"/>
  <c r="E52" i="22"/>
  <c r="D52" i="22"/>
  <c r="F52" i="22"/>
  <c r="C52" i="22"/>
  <c r="A52" i="22"/>
  <c r="E51" i="22"/>
  <c r="D51" i="22"/>
  <c r="F51" i="22"/>
  <c r="C51" i="22"/>
  <c r="A51" i="22"/>
  <c r="E50" i="22"/>
  <c r="D50" i="22"/>
  <c r="F50" i="22"/>
  <c r="C50" i="22"/>
  <c r="A50" i="22"/>
  <c r="E49" i="22"/>
  <c r="D49" i="22"/>
  <c r="F49" i="22"/>
  <c r="C49" i="22"/>
  <c r="A49" i="22"/>
  <c r="E48" i="22"/>
  <c r="D48" i="22"/>
  <c r="F48" i="22"/>
  <c r="C48" i="22"/>
  <c r="A48" i="22"/>
  <c r="E47" i="22"/>
  <c r="D47" i="22"/>
  <c r="F47" i="22"/>
  <c r="C47" i="22"/>
  <c r="A47" i="22"/>
  <c r="E46" i="22"/>
  <c r="D46" i="22"/>
  <c r="F46" i="22"/>
  <c r="C46" i="22"/>
  <c r="A46" i="22"/>
  <c r="E45" i="22"/>
  <c r="D45" i="22"/>
  <c r="F45" i="22"/>
  <c r="C45" i="22"/>
  <c r="A45" i="22"/>
  <c r="E44" i="22"/>
  <c r="D44" i="22"/>
  <c r="F44" i="22"/>
  <c r="C44" i="22"/>
  <c r="A44" i="22"/>
  <c r="E43" i="22"/>
  <c r="D43" i="22"/>
  <c r="F43" i="22"/>
  <c r="C43" i="22"/>
  <c r="A43" i="22"/>
  <c r="E42" i="22"/>
  <c r="D42" i="22"/>
  <c r="F42" i="22"/>
  <c r="C42" i="22"/>
  <c r="A42" i="22"/>
  <c r="E41" i="22"/>
  <c r="D41" i="22"/>
  <c r="F41" i="22"/>
  <c r="C41" i="22"/>
  <c r="A41" i="22"/>
  <c r="E40" i="22"/>
  <c r="D40" i="22"/>
  <c r="F40" i="22"/>
  <c r="C40" i="22"/>
  <c r="A40" i="22"/>
  <c r="E39" i="22"/>
  <c r="D39" i="22"/>
  <c r="F39" i="22"/>
  <c r="C39" i="22"/>
  <c r="A39" i="22"/>
  <c r="E38" i="22"/>
  <c r="D38" i="22"/>
  <c r="F38" i="22"/>
  <c r="C38" i="22"/>
  <c r="A38" i="22"/>
  <c r="E37" i="22"/>
  <c r="D37" i="22"/>
  <c r="F37" i="22"/>
  <c r="C37" i="22"/>
  <c r="A37" i="22"/>
  <c r="E36" i="22"/>
  <c r="D36" i="22"/>
  <c r="F36" i="22"/>
  <c r="C36" i="22"/>
  <c r="A36" i="22"/>
  <c r="E35" i="22"/>
  <c r="D35" i="22"/>
  <c r="F35" i="22"/>
  <c r="C35" i="22"/>
  <c r="A35" i="22"/>
  <c r="E34" i="22"/>
  <c r="D34" i="22"/>
  <c r="F34" i="22"/>
  <c r="C34" i="22"/>
  <c r="A34" i="22"/>
  <c r="E33" i="22"/>
  <c r="D33" i="22"/>
  <c r="F33" i="22"/>
  <c r="C33" i="22"/>
  <c r="A33" i="22"/>
  <c r="E32" i="22"/>
  <c r="D32" i="22"/>
  <c r="F32" i="22"/>
  <c r="C32" i="22"/>
  <c r="A32" i="22"/>
  <c r="E31" i="22"/>
  <c r="D31" i="22"/>
  <c r="F31" i="22"/>
  <c r="C31" i="22"/>
  <c r="A31" i="22"/>
  <c r="E30" i="22"/>
  <c r="D30" i="22"/>
  <c r="F30" i="22"/>
  <c r="C30" i="22"/>
  <c r="A30" i="22"/>
  <c r="E29" i="22"/>
  <c r="D29" i="22"/>
  <c r="F29" i="22"/>
  <c r="C29" i="22"/>
  <c r="A29" i="22"/>
  <c r="E28" i="22"/>
  <c r="D28" i="22"/>
  <c r="F28" i="22"/>
  <c r="C28" i="22"/>
  <c r="A28" i="22"/>
  <c r="E27" i="22"/>
  <c r="D27" i="22"/>
  <c r="F27" i="22"/>
  <c r="C27" i="22"/>
  <c r="A27" i="22"/>
  <c r="E26" i="22"/>
  <c r="D26" i="22"/>
  <c r="F26" i="22"/>
  <c r="C26" i="22"/>
  <c r="A26" i="22"/>
  <c r="E25" i="22"/>
  <c r="D25" i="22"/>
  <c r="F25" i="22"/>
  <c r="C25" i="22"/>
  <c r="A25" i="22"/>
  <c r="E24" i="22"/>
  <c r="D24" i="22"/>
  <c r="F24" i="22"/>
  <c r="C24" i="22"/>
  <c r="A24" i="22"/>
  <c r="E23" i="22"/>
  <c r="D23" i="22"/>
  <c r="F23" i="22"/>
  <c r="C23" i="22"/>
  <c r="A23" i="22"/>
  <c r="E22" i="22"/>
  <c r="D22" i="22"/>
  <c r="F22" i="22"/>
  <c r="C22" i="22"/>
  <c r="A22" i="22"/>
  <c r="E21" i="22"/>
  <c r="D21" i="22"/>
  <c r="F21" i="22"/>
  <c r="C21" i="22"/>
  <c r="A21" i="22"/>
  <c r="E20" i="22"/>
  <c r="D20" i="22"/>
  <c r="F20" i="22"/>
  <c r="C20" i="22"/>
  <c r="A20" i="22"/>
  <c r="E19" i="22"/>
  <c r="D19" i="22"/>
  <c r="F19" i="22"/>
  <c r="C19" i="22"/>
  <c r="A19" i="22"/>
  <c r="E18" i="22"/>
  <c r="D18" i="22"/>
  <c r="F18" i="22"/>
  <c r="C18" i="22"/>
  <c r="A18" i="22"/>
  <c r="E17" i="22"/>
  <c r="D17" i="22"/>
  <c r="F17" i="22"/>
  <c r="C17" i="22"/>
  <c r="A17" i="22"/>
  <c r="E16" i="22"/>
  <c r="D16" i="22"/>
  <c r="F16" i="22"/>
  <c r="C16" i="22"/>
  <c r="A16" i="22"/>
  <c r="E15" i="22"/>
  <c r="D15" i="22"/>
  <c r="F15" i="22"/>
  <c r="C15" i="22"/>
  <c r="A15" i="22"/>
  <c r="E14" i="22"/>
  <c r="D14" i="22"/>
  <c r="F14" i="22"/>
  <c r="C14" i="22"/>
  <c r="A14" i="22"/>
  <c r="E13" i="22"/>
  <c r="D13" i="22"/>
  <c r="F13" i="22"/>
  <c r="C13" i="22"/>
  <c r="A13" i="22"/>
  <c r="E12" i="22"/>
  <c r="D12" i="22"/>
  <c r="F12" i="22"/>
  <c r="C12" i="22"/>
  <c r="A12" i="22"/>
  <c r="E11" i="22"/>
  <c r="D11" i="22"/>
  <c r="F11" i="22"/>
  <c r="C11" i="22"/>
  <c r="A11" i="22"/>
  <c r="E10" i="22"/>
  <c r="D10" i="22"/>
  <c r="F10" i="22"/>
  <c r="C10" i="22"/>
  <c r="A10" i="22"/>
  <c r="E9" i="22"/>
  <c r="D9" i="22"/>
  <c r="F9" i="22"/>
  <c r="C9" i="22"/>
  <c r="A9" i="22"/>
  <c r="E8" i="22"/>
  <c r="D8" i="22"/>
  <c r="F8" i="22"/>
  <c r="C8" i="22"/>
  <c r="A8" i="22"/>
  <c r="E7" i="22"/>
  <c r="D7" i="22"/>
  <c r="F7" i="22"/>
  <c r="C7" i="22"/>
  <c r="A7" i="22"/>
  <c r="E6" i="22"/>
  <c r="D6" i="22"/>
  <c r="F6" i="22"/>
  <c r="C6" i="22"/>
  <c r="A6" i="22"/>
  <c r="E5" i="22"/>
  <c r="D5" i="22"/>
  <c r="F5" i="22"/>
  <c r="C5" i="22"/>
  <c r="A5" i="22"/>
  <c r="E4" i="22"/>
  <c r="C4" i="29"/>
  <c r="D4" i="22"/>
  <c r="F4" i="22"/>
  <c r="C4" i="22"/>
  <c r="A4" i="22"/>
  <c r="B70" i="28"/>
  <c r="D70" i="28"/>
  <c r="B23" i="11"/>
  <c r="P114" i="28"/>
  <c r="M89" i="28"/>
  <c r="N89" i="28"/>
  <c r="V89" i="28"/>
  <c r="M87" i="28"/>
  <c r="N87" i="28"/>
  <c r="V87" i="28"/>
  <c r="M65" i="28"/>
  <c r="N65" i="28"/>
  <c r="M39" i="28"/>
  <c r="N39" i="28"/>
  <c r="M21" i="28"/>
  <c r="N21" i="28"/>
  <c r="M88" i="28"/>
  <c r="N88" i="28"/>
  <c r="V88" i="28"/>
  <c r="M84" i="28"/>
  <c r="N84" i="28"/>
  <c r="M64" i="28"/>
  <c r="N64" i="28"/>
  <c r="M46" i="28"/>
  <c r="N46" i="28"/>
  <c r="M28" i="28"/>
  <c r="N28" i="28"/>
  <c r="M113" i="28"/>
  <c r="N113" i="28"/>
  <c r="M69" i="28"/>
  <c r="N69" i="28"/>
  <c r="M55" i="28"/>
  <c r="N55" i="28"/>
  <c r="M38" i="28"/>
  <c r="N38" i="28"/>
  <c r="M106" i="28"/>
  <c r="N106" i="28"/>
  <c r="M107" i="28"/>
  <c r="N107" i="28"/>
  <c r="M109" i="28"/>
  <c r="N109" i="28"/>
  <c r="M108" i="28"/>
  <c r="N108" i="28"/>
  <c r="M111" i="28"/>
  <c r="N111" i="28"/>
  <c r="V111" i="28"/>
  <c r="M85" i="28"/>
  <c r="N85" i="28"/>
  <c r="M63" i="28"/>
  <c r="N63" i="28"/>
  <c r="M37" i="28"/>
  <c r="N37" i="28"/>
  <c r="M19" i="28"/>
  <c r="N19" i="28"/>
  <c r="M14" i="28"/>
  <c r="N14" i="28"/>
  <c r="M82" i="28"/>
  <c r="N82" i="28"/>
  <c r="M62" i="28"/>
  <c r="N62" i="28"/>
  <c r="M44" i="28"/>
  <c r="N44" i="28"/>
  <c r="M26" i="28"/>
  <c r="N26" i="28"/>
  <c r="M53" i="28"/>
  <c r="N53" i="28"/>
  <c r="M98" i="28"/>
  <c r="N98" i="28"/>
  <c r="V98" i="28"/>
  <c r="M59" i="28"/>
  <c r="N59" i="28"/>
  <c r="M22" i="28"/>
  <c r="N22" i="28"/>
  <c r="M114" i="28"/>
  <c r="N114" i="28"/>
  <c r="V114" i="28"/>
  <c r="M5" i="28"/>
  <c r="N5" i="28"/>
  <c r="M95" i="28"/>
  <c r="N95" i="28"/>
  <c r="V95" i="28"/>
  <c r="M83" i="28"/>
  <c r="N83" i="28"/>
  <c r="M51" i="28"/>
  <c r="N51" i="28"/>
  <c r="M35" i="28"/>
  <c r="N35" i="28"/>
  <c r="M17" i="28"/>
  <c r="N17" i="28"/>
  <c r="M12" i="28"/>
  <c r="N12" i="28"/>
  <c r="M80" i="28"/>
  <c r="N80" i="28"/>
  <c r="M58" i="28"/>
  <c r="N58" i="28"/>
  <c r="M42" i="28"/>
  <c r="N42" i="28"/>
  <c r="M24" i="28"/>
  <c r="N24" i="28"/>
  <c r="M66" i="28"/>
  <c r="N66" i="28"/>
  <c r="M103" i="28"/>
  <c r="N103" i="28"/>
  <c r="Q4" i="28"/>
  <c r="M25" i="28"/>
  <c r="N25" i="28"/>
  <c r="M30" i="28"/>
  <c r="N30" i="28"/>
  <c r="M92" i="28"/>
  <c r="N92" i="28"/>
  <c r="V92" i="28"/>
  <c r="M81" i="28"/>
  <c r="N81" i="28"/>
  <c r="M49" i="28"/>
  <c r="N49" i="28"/>
  <c r="M33" i="28"/>
  <c r="N33" i="28"/>
  <c r="M15" i="28"/>
  <c r="N15" i="28"/>
  <c r="M10" i="28"/>
  <c r="N10" i="28"/>
  <c r="M78" i="28"/>
  <c r="N78" i="28"/>
  <c r="M56" i="28"/>
  <c r="N56" i="28"/>
  <c r="M40" i="28"/>
  <c r="N40" i="28"/>
  <c r="M20" i="28"/>
  <c r="N20" i="28"/>
  <c r="M23" i="28"/>
  <c r="N23" i="28"/>
  <c r="M102" i="28"/>
  <c r="N102" i="28"/>
  <c r="M105" i="28"/>
  <c r="N105" i="28"/>
  <c r="M104" i="28"/>
  <c r="N104" i="28"/>
  <c r="M86" i="28"/>
  <c r="N86" i="28"/>
  <c r="M70" i="28"/>
  <c r="N70" i="28"/>
  <c r="M13" i="28"/>
  <c r="N13" i="28"/>
  <c r="M77" i="28"/>
  <c r="N77" i="28"/>
  <c r="M47" i="28"/>
  <c r="N47" i="28"/>
  <c r="M31" i="28"/>
  <c r="N31" i="28"/>
  <c r="M90" i="28"/>
  <c r="N90" i="28"/>
  <c r="V90" i="28"/>
  <c r="M8" i="28"/>
  <c r="N8" i="28"/>
  <c r="M76" i="28"/>
  <c r="N76" i="28"/>
  <c r="M54" i="28"/>
  <c r="N54" i="28"/>
  <c r="M36" i="28"/>
  <c r="N36" i="28"/>
  <c r="M18" i="28"/>
  <c r="N18" i="28"/>
  <c r="M61" i="28"/>
  <c r="N61" i="28"/>
  <c r="M97" i="28"/>
  <c r="N97" i="28"/>
  <c r="V97" i="28"/>
  <c r="M41" i="28"/>
  <c r="N41" i="28"/>
  <c r="M48" i="28"/>
  <c r="N48" i="28"/>
  <c r="M11" i="28"/>
  <c r="N11" i="28"/>
  <c r="M75" i="28"/>
  <c r="N75" i="28"/>
  <c r="M45" i="28"/>
  <c r="N45" i="28"/>
  <c r="M29" i="28"/>
  <c r="N29" i="28"/>
  <c r="M110" i="28"/>
  <c r="N110" i="28"/>
  <c r="M6" i="28"/>
  <c r="N6" i="28"/>
  <c r="M74" i="28"/>
  <c r="N74" i="28"/>
  <c r="M52" i="28"/>
  <c r="N52" i="28"/>
  <c r="M34" i="28"/>
  <c r="N34" i="28"/>
  <c r="M16" i="28"/>
  <c r="N16" i="28"/>
  <c r="M94" i="28"/>
  <c r="N94" i="28"/>
  <c r="V94" i="28"/>
  <c r="M99" i="28"/>
  <c r="N99" i="28"/>
  <c r="M93" i="28"/>
  <c r="N93" i="28"/>
  <c r="V93" i="28"/>
  <c r="M68" i="28"/>
  <c r="N68" i="28"/>
  <c r="M57" i="28"/>
  <c r="N57" i="28"/>
  <c r="M9" i="28"/>
  <c r="N9" i="28"/>
  <c r="M73" i="28"/>
  <c r="N73" i="28"/>
  <c r="M43" i="28"/>
  <c r="N43" i="28"/>
  <c r="M27" i="28"/>
  <c r="N27" i="28"/>
  <c r="M112" i="28"/>
  <c r="N112" i="28"/>
  <c r="M91" i="28"/>
  <c r="N91" i="28"/>
  <c r="V91" i="28"/>
  <c r="M72" i="28"/>
  <c r="N72" i="28"/>
  <c r="M50" i="28"/>
  <c r="N50" i="28"/>
  <c r="M32" i="28"/>
  <c r="N32" i="28"/>
  <c r="M79" i="28"/>
  <c r="N79" i="28"/>
  <c r="M71" i="28"/>
  <c r="N71" i="28"/>
  <c r="M60" i="28"/>
  <c r="N60" i="28"/>
  <c r="M96" i="28"/>
  <c r="N96" i="28"/>
  <c r="V96" i="28"/>
  <c r="M101" i="28"/>
  <c r="N101" i="28"/>
  <c r="M100" i="28"/>
  <c r="N100" i="28"/>
  <c r="M7" i="28"/>
  <c r="N7" i="28"/>
  <c r="M67" i="28"/>
  <c r="N67" i="28"/>
  <c r="C11" i="29"/>
  <c r="G11" i="29"/>
  <c r="B11" i="28"/>
  <c r="D11" i="28"/>
  <c r="C19" i="29"/>
  <c r="G19" i="29"/>
  <c r="B19" i="28"/>
  <c r="D19" i="28"/>
  <c r="C27" i="29"/>
  <c r="G27" i="29"/>
  <c r="B27" i="28"/>
  <c r="D27" i="28"/>
  <c r="B32" i="28"/>
  <c r="D32" i="28"/>
  <c r="C32" i="29"/>
  <c r="G32" i="29"/>
  <c r="B37" i="28"/>
  <c r="D37" i="28"/>
  <c r="C37" i="29"/>
  <c r="G37" i="29"/>
  <c r="C42" i="29"/>
  <c r="G42" i="29"/>
  <c r="B42" i="28"/>
  <c r="D42" i="28"/>
  <c r="C50" i="29"/>
  <c r="G50" i="29"/>
  <c r="B50" i="28"/>
  <c r="D50" i="28"/>
  <c r="C58" i="29"/>
  <c r="G58" i="29"/>
  <c r="B58" i="28"/>
  <c r="D58" i="28"/>
  <c r="B63" i="28"/>
  <c r="D63" i="28"/>
  <c r="C63" i="29"/>
  <c r="G63" i="29"/>
  <c r="K63" i="29"/>
  <c r="C68" i="29"/>
  <c r="G68" i="29"/>
  <c r="B68" i="28"/>
  <c r="D68" i="28"/>
  <c r="B6" i="28"/>
  <c r="D6" i="28"/>
  <c r="C6" i="29"/>
  <c r="G6" i="29"/>
  <c r="C14" i="29"/>
  <c r="G14" i="29"/>
  <c r="B14" i="28"/>
  <c r="D14" i="28"/>
  <c r="B45" i="28"/>
  <c r="D45" i="28"/>
  <c r="C45" i="29"/>
  <c r="G45" i="29"/>
  <c r="B53" i="28"/>
  <c r="D53" i="28"/>
  <c r="C53" i="29"/>
  <c r="G53" i="29"/>
  <c r="B61" i="28"/>
  <c r="D61" i="28"/>
  <c r="C61" i="29"/>
  <c r="G61" i="29"/>
  <c r="C66" i="29"/>
  <c r="G66" i="29"/>
  <c r="B66" i="28"/>
  <c r="D66" i="28"/>
  <c r="B25" i="28"/>
  <c r="D25" i="28"/>
  <c r="C25" i="29"/>
  <c r="G25" i="29"/>
  <c r="B30" i="28"/>
  <c r="D30" i="28"/>
  <c r="C30" i="29"/>
  <c r="G30" i="29"/>
  <c r="C35" i="29"/>
  <c r="G35" i="29"/>
  <c r="B35" i="28"/>
  <c r="D35" i="28"/>
  <c r="B40" i="28"/>
  <c r="D40" i="28"/>
  <c r="C40" i="29"/>
  <c r="G40" i="29"/>
  <c r="B48" i="28"/>
  <c r="D48" i="28"/>
  <c r="C48" i="29"/>
  <c r="G48" i="29"/>
  <c r="D56" i="28"/>
  <c r="C56" i="29"/>
  <c r="G56" i="29"/>
  <c r="C70" i="29"/>
  <c r="G70" i="29"/>
  <c r="B72" i="28"/>
  <c r="D72" i="28"/>
  <c r="C72" i="29"/>
  <c r="G72" i="29"/>
  <c r="C74" i="29"/>
  <c r="G74" i="29"/>
  <c r="B74" i="28"/>
  <c r="D74" i="28"/>
  <c r="C76" i="29"/>
  <c r="G76" i="29"/>
  <c r="B76" i="28"/>
  <c r="D76" i="28"/>
  <c r="C78" i="29"/>
  <c r="G78" i="29"/>
  <c r="B78" i="28"/>
  <c r="D78" i="28"/>
  <c r="B80" i="28"/>
  <c r="D80" i="28"/>
  <c r="C80" i="29"/>
  <c r="G80" i="29"/>
  <c r="B82" i="28"/>
  <c r="D82" i="28"/>
  <c r="C82" i="29"/>
  <c r="G82" i="29"/>
  <c r="C84" i="29"/>
  <c r="G84" i="29"/>
  <c r="B84" i="28"/>
  <c r="D84" i="28"/>
  <c r="B86" i="28"/>
  <c r="D86" i="28"/>
  <c r="C86" i="29"/>
  <c r="G86" i="29"/>
  <c r="B17" i="28"/>
  <c r="D17" i="28"/>
  <c r="C17" i="29"/>
  <c r="G17" i="29"/>
  <c r="C20" i="29"/>
  <c r="G20" i="29"/>
  <c r="B20" i="28"/>
  <c r="D20" i="28"/>
  <c r="C43" i="29"/>
  <c r="G43" i="29"/>
  <c r="B43" i="28"/>
  <c r="D43" i="28"/>
  <c r="C51" i="29"/>
  <c r="G51" i="29"/>
  <c r="B51" i="28"/>
  <c r="D51" i="28"/>
  <c r="C59" i="29"/>
  <c r="G59" i="29"/>
  <c r="B59" i="28"/>
  <c r="D59" i="28"/>
  <c r="B64" i="28"/>
  <c r="D64" i="28"/>
  <c r="C64" i="29"/>
  <c r="G64" i="29"/>
  <c r="B69" i="28"/>
  <c r="D69" i="28"/>
  <c r="C69" i="29"/>
  <c r="G69" i="29"/>
  <c r="B4" i="28"/>
  <c r="D4" i="28"/>
  <c r="G4" i="29"/>
  <c r="B9" i="28"/>
  <c r="D9" i="28"/>
  <c r="C9" i="29"/>
  <c r="G9" i="29"/>
  <c r="C12" i="29"/>
  <c r="G12" i="29"/>
  <c r="K12" i="29"/>
  <c r="B12" i="28"/>
  <c r="D12" i="28"/>
  <c r="C28" i="29"/>
  <c r="G28" i="29"/>
  <c r="B28" i="28"/>
  <c r="D28" i="28"/>
  <c r="B33" i="28"/>
  <c r="D33" i="28"/>
  <c r="C33" i="29"/>
  <c r="G33" i="29"/>
  <c r="B38" i="28"/>
  <c r="D38" i="28"/>
  <c r="C38" i="29"/>
  <c r="G38" i="29"/>
  <c r="B7" i="28"/>
  <c r="D7" i="28"/>
  <c r="C7" i="29"/>
  <c r="G7" i="29"/>
  <c r="B15" i="28"/>
  <c r="D15" i="28"/>
  <c r="C15" i="29"/>
  <c r="G15" i="29"/>
  <c r="B23" i="28"/>
  <c r="D23" i="28"/>
  <c r="C23" i="29"/>
  <c r="G23" i="29"/>
  <c r="B46" i="28"/>
  <c r="D46" i="28"/>
  <c r="C46" i="29"/>
  <c r="G46" i="29"/>
  <c r="B54" i="28"/>
  <c r="D54" i="28"/>
  <c r="C54" i="29"/>
  <c r="G54" i="29"/>
  <c r="C10" i="29"/>
  <c r="G10" i="29"/>
  <c r="B10" i="28"/>
  <c r="D10" i="28"/>
  <c r="C67" i="29"/>
  <c r="G67" i="29"/>
  <c r="B67" i="28"/>
  <c r="D67" i="28"/>
  <c r="B24" i="28"/>
  <c r="D24" i="28"/>
  <c r="C24" i="29"/>
  <c r="G24" i="29"/>
  <c r="B22" i="28"/>
  <c r="D22" i="28"/>
  <c r="C22" i="29"/>
  <c r="G22" i="29"/>
  <c r="B5" i="28"/>
  <c r="D5" i="28"/>
  <c r="C5" i="29"/>
  <c r="G5" i="29"/>
  <c r="C18" i="29"/>
  <c r="G18" i="29"/>
  <c r="B18" i="28"/>
  <c r="D18" i="28"/>
  <c r="C26" i="29"/>
  <c r="G26" i="29"/>
  <c r="B26" i="28"/>
  <c r="D26" i="28"/>
  <c r="B31" i="28"/>
  <c r="D31" i="28"/>
  <c r="C31" i="29"/>
  <c r="G31" i="29"/>
  <c r="C36" i="29"/>
  <c r="G36" i="29"/>
  <c r="B36" i="28"/>
  <c r="D36" i="28"/>
  <c r="B41" i="28"/>
  <c r="D41" i="28"/>
  <c r="C41" i="29"/>
  <c r="G41" i="29"/>
  <c r="B49" i="28"/>
  <c r="D49" i="28"/>
  <c r="C49" i="29"/>
  <c r="G49" i="29"/>
  <c r="B57" i="28"/>
  <c r="D57" i="28"/>
  <c r="C57" i="29"/>
  <c r="G57" i="29"/>
  <c r="C62" i="29"/>
  <c r="G62" i="29"/>
  <c r="B62" i="28"/>
  <c r="D62" i="28"/>
  <c r="B13" i="28"/>
  <c r="D13" i="28"/>
  <c r="C13" i="29"/>
  <c r="G13" i="29"/>
  <c r="B21" i="28"/>
  <c r="D21" i="28"/>
  <c r="C21" i="29"/>
  <c r="G21" i="29"/>
  <c r="B29" i="28"/>
  <c r="D29" i="28"/>
  <c r="C29" i="29"/>
  <c r="G29" i="29"/>
  <c r="C34" i="29"/>
  <c r="G34" i="29"/>
  <c r="B34" i="28"/>
  <c r="D34" i="28"/>
  <c r="C44" i="29"/>
  <c r="G44" i="29"/>
  <c r="B44" i="28"/>
  <c r="D44" i="28"/>
  <c r="C52" i="29"/>
  <c r="G52" i="29"/>
  <c r="B52" i="28"/>
  <c r="D52" i="28"/>
  <c r="C60" i="29"/>
  <c r="G60" i="29"/>
  <c r="B60" i="28"/>
  <c r="D60" i="28"/>
  <c r="B65" i="28"/>
  <c r="D65" i="28"/>
  <c r="C65" i="29"/>
  <c r="G65" i="29"/>
  <c r="B71" i="28"/>
  <c r="D71" i="28"/>
  <c r="C71" i="29"/>
  <c r="G71" i="29"/>
  <c r="B73" i="28"/>
  <c r="D73" i="28"/>
  <c r="C73" i="29"/>
  <c r="G73" i="29"/>
  <c r="C75" i="29"/>
  <c r="G75" i="29"/>
  <c r="B75" i="28"/>
  <c r="D75" i="28"/>
  <c r="B77" i="28"/>
  <c r="D77" i="28"/>
  <c r="C77" i="29"/>
  <c r="G77" i="29"/>
  <c r="B81" i="28"/>
  <c r="D81" i="28"/>
  <c r="C81" i="29"/>
  <c r="G81" i="29"/>
  <c r="C83" i="29"/>
  <c r="G83" i="29"/>
  <c r="B83" i="28"/>
  <c r="D83" i="28"/>
  <c r="C85" i="29"/>
  <c r="G85" i="29"/>
  <c r="K85" i="29"/>
  <c r="B85" i="28"/>
  <c r="D85" i="28"/>
  <c r="B16" i="28"/>
  <c r="D16" i="28"/>
  <c r="C16" i="29"/>
  <c r="G16" i="29"/>
  <c r="B39" i="28"/>
  <c r="D39" i="28"/>
  <c r="C39" i="29"/>
  <c r="G39" i="29"/>
  <c r="B47" i="28"/>
  <c r="D47" i="28"/>
  <c r="C47" i="29"/>
  <c r="G47" i="29"/>
  <c r="B55" i="28"/>
  <c r="D55" i="28"/>
  <c r="C55" i="29"/>
  <c r="G55" i="29"/>
  <c r="S60" i="28"/>
  <c r="S78" i="28"/>
  <c r="S48" i="28"/>
  <c r="S73" i="28"/>
  <c r="S35" i="28"/>
  <c r="S97" i="28"/>
  <c r="S110" i="28"/>
  <c r="S114" i="28"/>
  <c r="S59" i="28"/>
  <c r="S68" i="28"/>
  <c r="S8" i="28"/>
  <c r="S101" i="28"/>
  <c r="S46" i="28"/>
  <c r="S28" i="28"/>
  <c r="S15" i="28"/>
  <c r="S111" i="28"/>
  <c r="S98" i="28"/>
  <c r="S82" i="28"/>
  <c r="S72" i="28"/>
  <c r="S57" i="28"/>
  <c r="S43" i="28"/>
  <c r="S17" i="28"/>
  <c r="S106" i="28"/>
  <c r="S88" i="28"/>
  <c r="S66" i="28"/>
  <c r="S36" i="28"/>
  <c r="S23" i="28"/>
  <c r="S6" i="28"/>
  <c r="S96" i="28"/>
  <c r="S83" i="28"/>
  <c r="S74" i="28"/>
  <c r="S52" i="28"/>
  <c r="S40" i="28"/>
  <c r="S27" i="28"/>
  <c r="S56" i="28"/>
  <c r="S62" i="28"/>
  <c r="S5" i="28"/>
  <c r="S93" i="28"/>
  <c r="S42" i="28"/>
  <c r="S25" i="28"/>
  <c r="S11" i="28"/>
  <c r="S109" i="28"/>
  <c r="S94" i="28"/>
  <c r="S81" i="28"/>
  <c r="S69" i="28"/>
  <c r="S54" i="28"/>
  <c r="S32" i="28"/>
  <c r="S103" i="28"/>
  <c r="S85" i="28"/>
  <c r="S55" i="28"/>
  <c r="S30" i="28"/>
  <c r="S18" i="28"/>
  <c r="S112" i="28"/>
  <c r="S92" i="28"/>
  <c r="S80" i="28"/>
  <c r="S71" i="28"/>
  <c r="S49" i="28"/>
  <c r="S37" i="28"/>
  <c r="S20" i="28"/>
  <c r="S53" i="28"/>
  <c r="S108" i="28"/>
  <c r="S89" i="28"/>
  <c r="S38" i="28"/>
  <c r="S4" i="28"/>
  <c r="S90" i="28"/>
  <c r="S65" i="28"/>
  <c r="S29" i="28"/>
  <c r="S99" i="28"/>
  <c r="S44" i="28"/>
  <c r="S13" i="28"/>
  <c r="S91" i="28"/>
  <c r="S64" i="28"/>
  <c r="S33" i="28"/>
  <c r="S50" i="28"/>
  <c r="S12" i="28"/>
  <c r="S104" i="28"/>
  <c r="S87" i="28"/>
  <c r="S34" i="28"/>
  <c r="S16" i="28"/>
  <c r="S113" i="28"/>
  <c r="S102" i="28"/>
  <c r="S84" i="28"/>
  <c r="S75" i="28"/>
  <c r="S63" i="28"/>
  <c r="S47" i="28"/>
  <c r="S22" i="28"/>
  <c r="S7" i="28"/>
  <c r="S95" i="28"/>
  <c r="S67" i="28"/>
  <c r="S39" i="28"/>
  <c r="S24" i="28"/>
  <c r="S9" i="28"/>
  <c r="S100" i="28"/>
  <c r="S86" i="28"/>
  <c r="S76" i="28"/>
  <c r="S58" i="28"/>
  <c r="S41" i="28"/>
  <c r="S31" i="28"/>
  <c r="S14" i="28"/>
  <c r="S61" i="28"/>
  <c r="S21" i="28"/>
  <c r="S105" i="28"/>
  <c r="S79" i="28"/>
  <c r="S51" i="28"/>
  <c r="S10" i="28"/>
  <c r="S70" i="28"/>
  <c r="S26" i="28"/>
  <c r="S107" i="28"/>
  <c r="S77" i="28"/>
  <c r="S45" i="28"/>
  <c r="S19" i="28"/>
  <c r="B79" i="28"/>
  <c r="D79" i="28"/>
  <c r="C79" i="29"/>
  <c r="G79" i="29"/>
  <c r="B8" i="28"/>
  <c r="C8" i="29"/>
  <c r="G8" i="29"/>
  <c r="B89" i="30"/>
  <c r="G112" i="28"/>
  <c r="G108" i="28"/>
  <c r="G104" i="28"/>
  <c r="G100" i="28"/>
  <c r="G96" i="28"/>
  <c r="G92" i="28"/>
  <c r="G88" i="28"/>
  <c r="B93" i="30"/>
  <c r="G111" i="28"/>
  <c r="G107" i="28"/>
  <c r="G103" i="28"/>
  <c r="G99" i="28"/>
  <c r="G95" i="28"/>
  <c r="G91" i="28"/>
  <c r="G87" i="28"/>
  <c r="P89" i="28"/>
  <c r="AH89" i="28"/>
  <c r="G114" i="28"/>
  <c r="G110" i="28"/>
  <c r="G106" i="28"/>
  <c r="G102" i="28"/>
  <c r="G98" i="28"/>
  <c r="G94" i="28"/>
  <c r="G90" i="28"/>
  <c r="G113" i="28"/>
  <c r="G109" i="28"/>
  <c r="G105" i="28"/>
  <c r="G101" i="28"/>
  <c r="G97" i="28"/>
  <c r="G93" i="28"/>
  <c r="G89" i="28"/>
  <c r="P113" i="28"/>
  <c r="AH113" i="28"/>
  <c r="B112" i="30"/>
  <c r="P112" i="28"/>
  <c r="AH112" i="28"/>
  <c r="B94" i="30"/>
  <c r="P94" i="28"/>
  <c r="P93" i="28"/>
  <c r="AH93" i="28"/>
  <c r="B95" i="30"/>
  <c r="B92" i="30"/>
  <c r="P92" i="28"/>
  <c r="AH92" i="28"/>
  <c r="B87" i="30"/>
  <c r="P87" i="28"/>
  <c r="AH87" i="28"/>
  <c r="B90" i="30"/>
  <c r="P90" i="28"/>
  <c r="AH90" i="28"/>
  <c r="B91" i="30"/>
  <c r="P91" i="28"/>
  <c r="B88" i="30"/>
  <c r="P88" i="28"/>
  <c r="P110" i="28"/>
  <c r="AT59" i="28"/>
  <c r="P95" i="28"/>
  <c r="P111" i="28"/>
  <c r="P99" i="28"/>
  <c r="P102" i="28"/>
  <c r="P97" i="28"/>
  <c r="AH97" i="28"/>
  <c r="P96" i="28"/>
  <c r="AH96" i="28"/>
  <c r="P98" i="28"/>
  <c r="P109" i="28"/>
  <c r="DB22" i="28"/>
  <c r="BF21" i="28"/>
  <c r="BR41" i="28"/>
  <c r="P108" i="28"/>
  <c r="AH108" i="28"/>
  <c r="EL21" i="28"/>
  <c r="P106" i="28"/>
  <c r="AH106" i="28"/>
  <c r="P105" i="28"/>
  <c r="P107" i="28"/>
  <c r="AH107" i="28"/>
  <c r="P101" i="28"/>
  <c r="P103" i="28"/>
  <c r="AH103" i="28"/>
  <c r="P100" i="28"/>
  <c r="P104" i="28"/>
  <c r="DZ8" i="28"/>
  <c r="DN8" i="28"/>
  <c r="B37" i="11"/>
  <c r="B20" i="11"/>
  <c r="Q100" i="28"/>
  <c r="V100" i="28"/>
  <c r="Q102" i="28"/>
  <c r="V102" i="28"/>
  <c r="X102" i="28"/>
  <c r="Q109" i="28"/>
  <c r="V109" i="28"/>
  <c r="AH102" i="28"/>
  <c r="AJ102" i="28"/>
  <c r="AL102" i="28"/>
  <c r="AN102" i="28"/>
  <c r="AS102" i="28"/>
  <c r="CT102" i="28"/>
  <c r="CU102" i="28"/>
  <c r="AJ108" i="28"/>
  <c r="AL108" i="28"/>
  <c r="AN108" i="28"/>
  <c r="AS108" i="28"/>
  <c r="CT108" i="28"/>
  <c r="CU108" i="28"/>
  <c r="Q101" i="28"/>
  <c r="V101" i="28"/>
  <c r="Q110" i="28"/>
  <c r="V110" i="28"/>
  <c r="X110" i="28"/>
  <c r="Z110" i="28"/>
  <c r="AB110" i="28"/>
  <c r="AG110" i="28"/>
  <c r="CH110" i="28"/>
  <c r="CI110" i="28"/>
  <c r="Q107" i="28"/>
  <c r="V107" i="28"/>
  <c r="AH91" i="28"/>
  <c r="AJ91" i="28"/>
  <c r="AL91" i="28"/>
  <c r="AN91" i="28"/>
  <c r="AS91" i="28"/>
  <c r="CT91" i="28"/>
  <c r="CU91" i="28"/>
  <c r="AH101" i="28"/>
  <c r="AJ101" i="28"/>
  <c r="AL101" i="28"/>
  <c r="AN101" i="28"/>
  <c r="AS101" i="28"/>
  <c r="CT101" i="28"/>
  <c r="CU101" i="28"/>
  <c r="AJ97" i="28"/>
  <c r="AJ107" i="28"/>
  <c r="AJ87" i="28"/>
  <c r="AJ112" i="28"/>
  <c r="AL112" i="28"/>
  <c r="AN112" i="28"/>
  <c r="AS112" i="28"/>
  <c r="CT112" i="28"/>
  <c r="CU112" i="28"/>
  <c r="AJ103" i="28"/>
  <c r="AJ106" i="28"/>
  <c r="AJ96" i="28"/>
  <c r="AJ90" i="28"/>
  <c r="AL90" i="28"/>
  <c r="AN90" i="28"/>
  <c r="AS90" i="28"/>
  <c r="CT90" i="28"/>
  <c r="CU90" i="28"/>
  <c r="AJ92" i="28"/>
  <c r="AJ113" i="28"/>
  <c r="Q112" i="28"/>
  <c r="V112" i="28"/>
  <c r="W112" i="28"/>
  <c r="Y112" i="28"/>
  <c r="AA112" i="28"/>
  <c r="Q99" i="28"/>
  <c r="V99" i="28"/>
  <c r="Q104" i="28"/>
  <c r="V104" i="28"/>
  <c r="W104" i="28"/>
  <c r="Y104" i="28"/>
  <c r="AA104" i="28"/>
  <c r="Q106" i="28"/>
  <c r="V106" i="28"/>
  <c r="Q113" i="28"/>
  <c r="V113" i="28"/>
  <c r="CD113" i="28"/>
  <c r="AH95" i="28"/>
  <c r="AJ95" i="28"/>
  <c r="AL95" i="28"/>
  <c r="AN95" i="28"/>
  <c r="AS95" i="28"/>
  <c r="CT95" i="28"/>
  <c r="CU95" i="28"/>
  <c r="AH111" i="28"/>
  <c r="AJ111" i="28"/>
  <c r="AL111" i="28"/>
  <c r="AN111" i="28"/>
  <c r="AS111" i="28"/>
  <c r="CT111" i="28"/>
  <c r="CU111" i="28"/>
  <c r="AH100" i="28"/>
  <c r="AJ100" i="28"/>
  <c r="AL100" i="28"/>
  <c r="AN100" i="28"/>
  <c r="AS100" i="28"/>
  <c r="CT100" i="28"/>
  <c r="CU100" i="28"/>
  <c r="AH105" i="28"/>
  <c r="AJ105" i="28"/>
  <c r="AL105" i="28"/>
  <c r="AN105" i="28"/>
  <c r="AS105" i="28"/>
  <c r="CT105" i="28"/>
  <c r="CU105" i="28"/>
  <c r="AH94" i="28"/>
  <c r="AJ94" i="28"/>
  <c r="AL94" i="28"/>
  <c r="AN94" i="28"/>
  <c r="AS94" i="28"/>
  <c r="CT94" i="28"/>
  <c r="CU94" i="28"/>
  <c r="AH110" i="28"/>
  <c r="AJ110" i="28"/>
  <c r="AL110" i="28"/>
  <c r="AN110" i="28"/>
  <c r="AS110" i="28"/>
  <c r="CT110" i="28"/>
  <c r="CU110" i="28"/>
  <c r="Q105" i="28"/>
  <c r="V105" i="28"/>
  <c r="X105" i="28"/>
  <c r="Q103" i="28"/>
  <c r="V103" i="28"/>
  <c r="Q108" i="28"/>
  <c r="V108" i="28"/>
  <c r="W108" i="28"/>
  <c r="Y108" i="28"/>
  <c r="AA108" i="28"/>
  <c r="AH99" i="28"/>
  <c r="AJ99" i="28"/>
  <c r="AL99" i="28"/>
  <c r="AN99" i="28"/>
  <c r="AS99" i="28"/>
  <c r="CT99" i="28"/>
  <c r="CU99" i="28"/>
  <c r="AH88" i="28"/>
  <c r="AJ88" i="28"/>
  <c r="AL88" i="28"/>
  <c r="AN88" i="28"/>
  <c r="AS88" i="28"/>
  <c r="CT88" i="28"/>
  <c r="CU88" i="28"/>
  <c r="AH104" i="28"/>
  <c r="AJ104" i="28"/>
  <c r="AL104" i="28"/>
  <c r="AN104" i="28"/>
  <c r="AS104" i="28"/>
  <c r="CT104" i="28"/>
  <c r="CU104" i="28"/>
  <c r="AH109" i="28"/>
  <c r="AJ109" i="28"/>
  <c r="AL109" i="28"/>
  <c r="AN109" i="28"/>
  <c r="AS109" i="28"/>
  <c r="CT109" i="28"/>
  <c r="CU109" i="28"/>
  <c r="AH98" i="28"/>
  <c r="AJ98" i="28"/>
  <c r="AL98" i="28"/>
  <c r="AN98" i="28"/>
  <c r="AS98" i="28"/>
  <c r="CT98" i="28"/>
  <c r="CU98" i="28"/>
  <c r="AH114" i="28"/>
  <c r="AJ114" i="28"/>
  <c r="AL114" i="28"/>
  <c r="AN114" i="28"/>
  <c r="AS114" i="28"/>
  <c r="CT114" i="28"/>
  <c r="CU114" i="28"/>
  <c r="Q71" i="28"/>
  <c r="Q72" i="28"/>
  <c r="Q43" i="28"/>
  <c r="Q68" i="28"/>
  <c r="Q16" i="28"/>
  <c r="Q6" i="28"/>
  <c r="Q75" i="28"/>
  <c r="Q54" i="28"/>
  <c r="Q31" i="28"/>
  <c r="Q70" i="28"/>
  <c r="Q56" i="28"/>
  <c r="Q33" i="28"/>
  <c r="Q30" i="28"/>
  <c r="Q66" i="28"/>
  <c r="Q80" i="28"/>
  <c r="Q51" i="28"/>
  <c r="Q53" i="28"/>
  <c r="Q82" i="28"/>
  <c r="Q63" i="28"/>
  <c r="Q55" i="28"/>
  <c r="Q46" i="28"/>
  <c r="Q21" i="28"/>
  <c r="Q73" i="28"/>
  <c r="Q34" i="28"/>
  <c r="Q11" i="28"/>
  <c r="Q61" i="28"/>
  <c r="Q76" i="28"/>
  <c r="Q47" i="28"/>
  <c r="Q86" i="28"/>
  <c r="Q23" i="28"/>
  <c r="Q78" i="28"/>
  <c r="Q49" i="28"/>
  <c r="Q25" i="28"/>
  <c r="Q24" i="28"/>
  <c r="Q12" i="28"/>
  <c r="Q83" i="28"/>
  <c r="Q22" i="28"/>
  <c r="Q26" i="28"/>
  <c r="Q14" i="28"/>
  <c r="Q85" i="28"/>
  <c r="Q69" i="28"/>
  <c r="Q64" i="28"/>
  <c r="Q39" i="28"/>
  <c r="EP4" i="28"/>
  <c r="AU4" i="28"/>
  <c r="Q67" i="28"/>
  <c r="Q32" i="28"/>
  <c r="Q9" i="28"/>
  <c r="Q52" i="28"/>
  <c r="Q29" i="28"/>
  <c r="Q48" i="28"/>
  <c r="Q18" i="28"/>
  <c r="Q8" i="28"/>
  <c r="Q77" i="28"/>
  <c r="Q20" i="28"/>
  <c r="Q10" i="28"/>
  <c r="Q81" i="28"/>
  <c r="Q42" i="28"/>
  <c r="Q17" i="28"/>
  <c r="Q59" i="28"/>
  <c r="Q44" i="28"/>
  <c r="Q19" i="28"/>
  <c r="Q84" i="28"/>
  <c r="Q65" i="28"/>
  <c r="Q7" i="28"/>
  <c r="Q60" i="28"/>
  <c r="Q50" i="28"/>
  <c r="Q27" i="28"/>
  <c r="Q57" i="28"/>
  <c r="Q74" i="28"/>
  <c r="Q45" i="28"/>
  <c r="Q41" i="28"/>
  <c r="Q36" i="28"/>
  <c r="Q13" i="28"/>
  <c r="Q40" i="28"/>
  <c r="Q15" i="28"/>
  <c r="Q58" i="28"/>
  <c r="Q35" i="28"/>
  <c r="Q5" i="28"/>
  <c r="Q62" i="28"/>
  <c r="Q37" i="28"/>
  <c r="Q38" i="28"/>
  <c r="Q28" i="28"/>
  <c r="K65" i="29"/>
  <c r="K9" i="29"/>
  <c r="K70" i="29"/>
  <c r="H93" i="28"/>
  <c r="H109" i="28"/>
  <c r="H98" i="28"/>
  <c r="H114" i="28"/>
  <c r="H95" i="28"/>
  <c r="H111" i="28"/>
  <c r="H96" i="28"/>
  <c r="H112" i="28"/>
  <c r="K61" i="29"/>
  <c r="K6" i="29"/>
  <c r="H97" i="28"/>
  <c r="H113" i="28"/>
  <c r="H102" i="28"/>
  <c r="H99" i="28"/>
  <c r="H100" i="28"/>
  <c r="H101" i="28"/>
  <c r="H90" i="28"/>
  <c r="H106" i="28"/>
  <c r="H87" i="28"/>
  <c r="H103" i="28"/>
  <c r="H88" i="28"/>
  <c r="H104" i="28"/>
  <c r="H89" i="28"/>
  <c r="H105" i="28"/>
  <c r="H94" i="28"/>
  <c r="H110" i="28"/>
  <c r="H91" i="28"/>
  <c r="H107" i="28"/>
  <c r="H92" i="28"/>
  <c r="H108" i="28"/>
  <c r="K5" i="29"/>
  <c r="X112" i="28"/>
  <c r="Z112" i="28"/>
  <c r="AB112" i="28"/>
  <c r="AG112" i="28"/>
  <c r="CH112" i="28"/>
  <c r="CI112" i="28"/>
  <c r="AV4" i="28"/>
  <c r="AX4" i="28"/>
  <c r="W107" i="28"/>
  <c r="Y107" i="28"/>
  <c r="AA107" i="28"/>
  <c r="K60" i="29"/>
  <c r="K39" i="29"/>
  <c r="K81" i="29"/>
  <c r="K13" i="29"/>
  <c r="K64" i="29"/>
  <c r="K62" i="29"/>
  <c r="K11" i="29"/>
  <c r="K10" i="29"/>
  <c r="K4" i="29"/>
  <c r="CP114" i="28"/>
  <c r="CY114" i="28"/>
  <c r="AJ89" i="28"/>
  <c r="AL89" i="28"/>
  <c r="AN89" i="28"/>
  <c r="AS89" i="28"/>
  <c r="CT89" i="28"/>
  <c r="CU89" i="28"/>
  <c r="BH18" i="28"/>
  <c r="BT18" i="28"/>
  <c r="AV18" i="28"/>
  <c r="K18" i="29"/>
  <c r="BH12" i="28"/>
  <c r="BT12" i="28"/>
  <c r="AV12" i="28"/>
  <c r="BH20" i="28"/>
  <c r="K20" i="29"/>
  <c r="AV20" i="28"/>
  <c r="BT20" i="28"/>
  <c r="K74" i="29"/>
  <c r="AV25" i="28"/>
  <c r="K25" i="29"/>
  <c r="BT25" i="28"/>
  <c r="AV45" i="28"/>
  <c r="K45" i="29"/>
  <c r="AV37" i="28"/>
  <c r="K37" i="29"/>
  <c r="BT37" i="28"/>
  <c r="BT39" i="28"/>
  <c r="AV39" i="28"/>
  <c r="K71" i="29"/>
  <c r="AV13" i="28"/>
  <c r="BH13" i="28"/>
  <c r="BT13" i="28"/>
  <c r="AV41" i="28"/>
  <c r="K41" i="29"/>
  <c r="BT41" i="28"/>
  <c r="BV41" i="28"/>
  <c r="BT22" i="28"/>
  <c r="AV22" i="28"/>
  <c r="K22" i="29"/>
  <c r="BT23" i="28"/>
  <c r="AV23" i="28"/>
  <c r="K23" i="29"/>
  <c r="AV33" i="28"/>
  <c r="BT33" i="28"/>
  <c r="K33" i="29"/>
  <c r="K82" i="29"/>
  <c r="K66" i="29"/>
  <c r="K68" i="29"/>
  <c r="AV42" i="28"/>
  <c r="K42" i="29"/>
  <c r="AV47" i="28"/>
  <c r="K47" i="29"/>
  <c r="BH16" i="28"/>
  <c r="K16" i="29"/>
  <c r="BT16" i="28"/>
  <c r="AV16" i="28"/>
  <c r="K77" i="29"/>
  <c r="K73" i="29"/>
  <c r="AV21" i="28"/>
  <c r="K21" i="29"/>
  <c r="BH21" i="28"/>
  <c r="BJ21" i="28"/>
  <c r="BT21" i="28"/>
  <c r="AV49" i="28"/>
  <c r="K49" i="29"/>
  <c r="AV5" i="28"/>
  <c r="BT5" i="28"/>
  <c r="BH5" i="28"/>
  <c r="AV24" i="28"/>
  <c r="K24" i="29"/>
  <c r="BT24" i="28"/>
  <c r="AV46" i="28"/>
  <c r="K46" i="29"/>
  <c r="BT15" i="28"/>
  <c r="AV15" i="28"/>
  <c r="K15" i="29"/>
  <c r="BH15" i="28"/>
  <c r="BT38" i="28"/>
  <c r="AV38" i="28"/>
  <c r="K38" i="29"/>
  <c r="AV9" i="28"/>
  <c r="BH9" i="28"/>
  <c r="BT9" i="28"/>
  <c r="K69" i="29"/>
  <c r="AV17" i="28"/>
  <c r="BT17" i="28"/>
  <c r="K17" i="29"/>
  <c r="BH17" i="28"/>
  <c r="K80" i="29"/>
  <c r="K72" i="29"/>
  <c r="BT35" i="28"/>
  <c r="AV35" i="28"/>
  <c r="K35" i="29"/>
  <c r="AV50" i="28"/>
  <c r="K50" i="29"/>
  <c r="BT27" i="28"/>
  <c r="AV27" i="28"/>
  <c r="K27" i="29"/>
  <c r="BT11" i="28"/>
  <c r="BH11" i="28"/>
  <c r="AV11" i="28"/>
  <c r="K79" i="29"/>
  <c r="K75" i="29"/>
  <c r="K44" i="29"/>
  <c r="AV44" i="28"/>
  <c r="K67" i="29"/>
  <c r="AV51" i="28"/>
  <c r="K51" i="29"/>
  <c r="K78" i="29"/>
  <c r="K48" i="29"/>
  <c r="AV48" i="28"/>
  <c r="BT6" i="28"/>
  <c r="BH6" i="28"/>
  <c r="AV6" i="28"/>
  <c r="AV55" i="28"/>
  <c r="K55" i="29"/>
  <c r="AV29" i="28"/>
  <c r="BT29" i="28"/>
  <c r="K29" i="29"/>
  <c r="AV57" i="28"/>
  <c r="K57" i="29"/>
  <c r="BT31" i="28"/>
  <c r="AV31" i="28"/>
  <c r="K31" i="29"/>
  <c r="AV54" i="28"/>
  <c r="K54" i="29"/>
  <c r="BT7" i="28"/>
  <c r="BH7" i="28"/>
  <c r="AV7" i="28"/>
  <c r="K7" i="29"/>
  <c r="BT4" i="28"/>
  <c r="BH4" i="28"/>
  <c r="K86" i="29"/>
  <c r="AV14" i="28"/>
  <c r="BH14" i="28"/>
  <c r="BT14" i="28"/>
  <c r="K14" i="29"/>
  <c r="AV58" i="28"/>
  <c r="K58" i="29"/>
  <c r="BT19" i="28"/>
  <c r="AV19" i="28"/>
  <c r="BH19" i="28"/>
  <c r="K19" i="29"/>
  <c r="AI93" i="28"/>
  <c r="AK93" i="28"/>
  <c r="AM93" i="28"/>
  <c r="AJ93" i="28"/>
  <c r="AL93" i="28"/>
  <c r="AN93" i="28"/>
  <c r="AS93" i="28"/>
  <c r="CT93" i="28"/>
  <c r="CU93" i="28"/>
  <c r="B8" i="31"/>
  <c r="G8" i="31"/>
  <c r="D8" i="28"/>
  <c r="K83" i="29"/>
  <c r="K52" i="29"/>
  <c r="AV52" i="28"/>
  <c r="BT34" i="28"/>
  <c r="AV34" i="28"/>
  <c r="K34" i="29"/>
  <c r="K36" i="29"/>
  <c r="AV36" i="28"/>
  <c r="BT36" i="28"/>
  <c r="AV26" i="28"/>
  <c r="BT26" i="28"/>
  <c r="K26" i="29"/>
  <c r="AV10" i="28"/>
  <c r="BH10" i="28"/>
  <c r="BT10" i="28"/>
  <c r="BT28" i="28"/>
  <c r="K28" i="29"/>
  <c r="AV28" i="28"/>
  <c r="AV59" i="28"/>
  <c r="AX59" i="28"/>
  <c r="K59" i="29"/>
  <c r="AV43" i="28"/>
  <c r="K43" i="29"/>
  <c r="K84" i="29"/>
  <c r="K76" i="29"/>
  <c r="AV56" i="28"/>
  <c r="K56" i="29"/>
  <c r="AV40" i="28"/>
  <c r="K40" i="29"/>
  <c r="BT40" i="28"/>
  <c r="AV30" i="28"/>
  <c r="BT30" i="28"/>
  <c r="K30" i="29"/>
  <c r="AV53" i="28"/>
  <c r="K53" i="29"/>
  <c r="K32" i="29"/>
  <c r="BT32" i="28"/>
  <c r="AV32" i="28"/>
  <c r="W106" i="28"/>
  <c r="Y106" i="28"/>
  <c r="AA106" i="28"/>
  <c r="X99" i="28"/>
  <c r="B39" i="11"/>
  <c r="B45" i="11"/>
  <c r="X97" i="28"/>
  <c r="Q97" i="28"/>
  <c r="X90" i="28"/>
  <c r="Q90" i="28"/>
  <c r="X101" i="28"/>
  <c r="Q91" i="28"/>
  <c r="X91" i="28"/>
  <c r="X103" i="28"/>
  <c r="X96" i="28"/>
  <c r="Q96" i="28"/>
  <c r="X95" i="28"/>
  <c r="Q95" i="28"/>
  <c r="Q111" i="28"/>
  <c r="X111" i="28"/>
  <c r="X88" i="28"/>
  <c r="Q88" i="28"/>
  <c r="X94" i="28"/>
  <c r="Q94" i="28"/>
  <c r="Q92" i="28"/>
  <c r="X92" i="28"/>
  <c r="Q87" i="28"/>
  <c r="X87" i="28"/>
  <c r="Q114" i="28"/>
  <c r="X114" i="28"/>
  <c r="Q89" i="28"/>
  <c r="X89" i="28"/>
  <c r="X100" i="28"/>
  <c r="Q79" i="28"/>
  <c r="AF5" i="11"/>
  <c r="AF8" i="11"/>
  <c r="AF7" i="11"/>
  <c r="AF9" i="11"/>
  <c r="X98" i="28"/>
  <c r="Q98" i="28"/>
  <c r="Q93" i="28"/>
  <c r="X93" i="28"/>
  <c r="B81" i="31"/>
  <c r="G81" i="31"/>
  <c r="J81" i="28"/>
  <c r="V81" i="28"/>
  <c r="M81" i="31"/>
  <c r="B71" i="31"/>
  <c r="G71" i="31"/>
  <c r="J71" i="28"/>
  <c r="V71" i="28"/>
  <c r="M71" i="31"/>
  <c r="B13" i="31"/>
  <c r="G13" i="31"/>
  <c r="M13" i="31"/>
  <c r="J13" i="28"/>
  <c r="V13" i="28"/>
  <c r="B41" i="31"/>
  <c r="G41" i="31"/>
  <c r="J41" i="28"/>
  <c r="V41" i="28"/>
  <c r="M41" i="31"/>
  <c r="B15" i="31"/>
  <c r="G15" i="31"/>
  <c r="J15" i="28"/>
  <c r="V15" i="28"/>
  <c r="M15" i="31"/>
  <c r="B78" i="31"/>
  <c r="G78" i="31"/>
  <c r="J78" i="28"/>
  <c r="V78" i="28"/>
  <c r="M78" i="31"/>
  <c r="B35" i="31"/>
  <c r="G35" i="31"/>
  <c r="J35" i="28"/>
  <c r="V35" i="28"/>
  <c r="M35" i="31"/>
  <c r="B66" i="31"/>
  <c r="G66" i="31"/>
  <c r="J66" i="28"/>
  <c r="V66" i="28"/>
  <c r="M66" i="31"/>
  <c r="B14" i="31"/>
  <c r="G14" i="31"/>
  <c r="J14" i="28"/>
  <c r="V14" i="28"/>
  <c r="M14" i="31"/>
  <c r="B58" i="31"/>
  <c r="G58" i="31"/>
  <c r="J58" i="28"/>
  <c r="V58" i="28"/>
  <c r="M58" i="31"/>
  <c r="B16" i="31"/>
  <c r="G16" i="31"/>
  <c r="J16" i="28"/>
  <c r="V16" i="28"/>
  <c r="M16" i="31"/>
  <c r="B34" i="31"/>
  <c r="G34" i="31"/>
  <c r="J34" i="28"/>
  <c r="V34" i="28"/>
  <c r="M34" i="31"/>
  <c r="B62" i="31"/>
  <c r="G62" i="31"/>
  <c r="J62" i="28"/>
  <c r="V62" i="28"/>
  <c r="M62" i="31"/>
  <c r="M36" i="31"/>
  <c r="B36" i="31"/>
  <c r="G36" i="31"/>
  <c r="J36" i="28"/>
  <c r="V36" i="28"/>
  <c r="B12" i="31"/>
  <c r="G12" i="31"/>
  <c r="J12" i="28"/>
  <c r="V12" i="28"/>
  <c r="M12" i="31"/>
  <c r="J43" i="28"/>
  <c r="V43" i="28"/>
  <c r="M43" i="31"/>
  <c r="B43" i="31"/>
  <c r="G43" i="31"/>
  <c r="B86" i="31"/>
  <c r="G86" i="31"/>
  <c r="J86" i="28"/>
  <c r="V86" i="28"/>
  <c r="M86" i="31"/>
  <c r="B70" i="31"/>
  <c r="G70" i="31"/>
  <c r="J70" i="28"/>
  <c r="V70" i="28"/>
  <c r="M70" i="31"/>
  <c r="B32" i="31"/>
  <c r="G32" i="31"/>
  <c r="J32" i="28"/>
  <c r="V32" i="28"/>
  <c r="M32" i="31"/>
  <c r="B77" i="31"/>
  <c r="G77" i="31"/>
  <c r="M77" i="31"/>
  <c r="J77" i="28"/>
  <c r="V77" i="28"/>
  <c r="B65" i="31"/>
  <c r="G65" i="31"/>
  <c r="M65" i="31"/>
  <c r="J65" i="28"/>
  <c r="V65" i="28"/>
  <c r="B5" i="31"/>
  <c r="G5" i="31"/>
  <c r="M5" i="31"/>
  <c r="J5" i="28"/>
  <c r="V5" i="28"/>
  <c r="B54" i="31"/>
  <c r="G54" i="31"/>
  <c r="M54" i="31"/>
  <c r="J54" i="28"/>
  <c r="V54" i="28"/>
  <c r="B7" i="31"/>
  <c r="G7" i="31"/>
  <c r="J7" i="28"/>
  <c r="V7" i="28"/>
  <c r="M7" i="31"/>
  <c r="B69" i="31"/>
  <c r="G69" i="31"/>
  <c r="J69" i="28"/>
  <c r="V69" i="28"/>
  <c r="M69" i="31"/>
  <c r="B84" i="31"/>
  <c r="G84" i="31"/>
  <c r="J84" i="28"/>
  <c r="V84" i="28"/>
  <c r="M84" i="31"/>
  <c r="B76" i="31"/>
  <c r="G76" i="31"/>
  <c r="M76" i="31"/>
  <c r="J76" i="28"/>
  <c r="V76" i="28"/>
  <c r="B50" i="31"/>
  <c r="G50" i="31"/>
  <c r="J50" i="28"/>
  <c r="V50" i="28"/>
  <c r="M50" i="31"/>
  <c r="B27" i="31"/>
  <c r="G27" i="31"/>
  <c r="M27" i="31"/>
  <c r="J27" i="28"/>
  <c r="V27" i="28"/>
  <c r="B55" i="31"/>
  <c r="G55" i="31"/>
  <c r="J55" i="28"/>
  <c r="V55" i="28"/>
  <c r="M55" i="31"/>
  <c r="B85" i="31"/>
  <c r="G85" i="31"/>
  <c r="J85" i="28"/>
  <c r="V85" i="28"/>
  <c r="M85" i="31"/>
  <c r="B75" i="31"/>
  <c r="G75" i="31"/>
  <c r="J75" i="28"/>
  <c r="V75" i="28"/>
  <c r="M75" i="31"/>
  <c r="B60" i="31"/>
  <c r="G60" i="31"/>
  <c r="M60" i="31"/>
  <c r="J60" i="28"/>
  <c r="V60" i="28"/>
  <c r="B20" i="31"/>
  <c r="G20" i="31"/>
  <c r="M20" i="31"/>
  <c r="J20" i="28"/>
  <c r="V20" i="28"/>
  <c r="B56" i="31"/>
  <c r="G56" i="31"/>
  <c r="J56" i="28"/>
  <c r="V56" i="28"/>
  <c r="M56" i="31"/>
  <c r="B30" i="31"/>
  <c r="G30" i="31"/>
  <c r="M30" i="31"/>
  <c r="J30" i="28"/>
  <c r="V30" i="28"/>
  <c r="B61" i="31"/>
  <c r="G61" i="31"/>
  <c r="J61" i="28"/>
  <c r="V61" i="28"/>
  <c r="M61" i="31"/>
  <c r="B6" i="31"/>
  <c r="G6" i="31"/>
  <c r="J6" i="28"/>
  <c r="V6" i="28"/>
  <c r="M6" i="31"/>
  <c r="B29" i="31"/>
  <c r="G29" i="31"/>
  <c r="J29" i="28"/>
  <c r="V29" i="28"/>
  <c r="M29" i="31"/>
  <c r="B57" i="31"/>
  <c r="G57" i="31"/>
  <c r="J57" i="28"/>
  <c r="V57" i="28"/>
  <c r="M57" i="31"/>
  <c r="B31" i="31"/>
  <c r="G31" i="31"/>
  <c r="J31" i="28"/>
  <c r="V31" i="28"/>
  <c r="M31" i="31"/>
  <c r="B22" i="31"/>
  <c r="G22" i="31"/>
  <c r="J22" i="28"/>
  <c r="V22" i="28"/>
  <c r="M22" i="31"/>
  <c r="B46" i="31"/>
  <c r="G46" i="31"/>
  <c r="J46" i="28"/>
  <c r="V46" i="28"/>
  <c r="M46" i="31"/>
  <c r="B38" i="31"/>
  <c r="G38" i="31"/>
  <c r="J38" i="28"/>
  <c r="V38" i="28"/>
  <c r="M38" i="31"/>
  <c r="B9" i="31"/>
  <c r="G9" i="31"/>
  <c r="M9" i="31"/>
  <c r="J9" i="28"/>
  <c r="V9" i="28"/>
  <c r="B64" i="31"/>
  <c r="G64" i="31"/>
  <c r="J64" i="28"/>
  <c r="V64" i="28"/>
  <c r="M64" i="31"/>
  <c r="B74" i="31"/>
  <c r="G74" i="31"/>
  <c r="J74" i="28"/>
  <c r="V74" i="28"/>
  <c r="M74" i="31"/>
  <c r="B68" i="31"/>
  <c r="G68" i="31"/>
  <c r="J68" i="28"/>
  <c r="V68" i="28"/>
  <c r="M68" i="31"/>
  <c r="B42" i="31"/>
  <c r="G42" i="31"/>
  <c r="J42" i="28"/>
  <c r="V42" i="28"/>
  <c r="M42" i="31"/>
  <c r="B19" i="31"/>
  <c r="G19" i="31"/>
  <c r="M19" i="31"/>
  <c r="J19" i="28"/>
  <c r="V19" i="28"/>
  <c r="B47" i="31"/>
  <c r="G47" i="31"/>
  <c r="J47" i="28"/>
  <c r="V47" i="28"/>
  <c r="M47" i="31"/>
  <c r="B83" i="31"/>
  <c r="G83" i="31"/>
  <c r="J83" i="28"/>
  <c r="V83" i="28"/>
  <c r="M83" i="31"/>
  <c r="B52" i="31"/>
  <c r="G52" i="31"/>
  <c r="J52" i="28"/>
  <c r="V52" i="28"/>
  <c r="M52" i="31"/>
  <c r="B26" i="31"/>
  <c r="G26" i="31"/>
  <c r="J26" i="28"/>
  <c r="V26" i="28"/>
  <c r="M26" i="31"/>
  <c r="B67" i="31"/>
  <c r="G67" i="31"/>
  <c r="J67" i="28"/>
  <c r="V67" i="28"/>
  <c r="M67" i="31"/>
  <c r="B59" i="31"/>
  <c r="G59" i="31"/>
  <c r="J59" i="28"/>
  <c r="V59" i="28"/>
  <c r="M59" i="31"/>
  <c r="B82" i="31"/>
  <c r="G82" i="31"/>
  <c r="J82" i="28"/>
  <c r="V82" i="28"/>
  <c r="M82" i="31"/>
  <c r="B48" i="31"/>
  <c r="G48" i="31"/>
  <c r="M48" i="31"/>
  <c r="J48" i="28"/>
  <c r="V48" i="28"/>
  <c r="B25" i="31"/>
  <c r="G25" i="31"/>
  <c r="J25" i="28"/>
  <c r="V25" i="28"/>
  <c r="M25" i="31"/>
  <c r="B53" i="31"/>
  <c r="G53" i="31"/>
  <c r="M53" i="31"/>
  <c r="J53" i="28"/>
  <c r="V53" i="28"/>
  <c r="B73" i="31"/>
  <c r="G73" i="31"/>
  <c r="J73" i="28"/>
  <c r="V73" i="28"/>
  <c r="M73" i="31"/>
  <c r="B21" i="31"/>
  <c r="G21" i="31"/>
  <c r="J21" i="28"/>
  <c r="V21" i="28"/>
  <c r="M21" i="31"/>
  <c r="B49" i="31"/>
  <c r="G49" i="31"/>
  <c r="M49" i="31"/>
  <c r="J49" i="28"/>
  <c r="V49" i="28"/>
  <c r="B24" i="31"/>
  <c r="G24" i="31"/>
  <c r="M24" i="31"/>
  <c r="J24" i="28"/>
  <c r="V24" i="28"/>
  <c r="B23" i="31"/>
  <c r="G23" i="31"/>
  <c r="M23" i="31"/>
  <c r="J23" i="28"/>
  <c r="V23" i="28"/>
  <c r="B33" i="31"/>
  <c r="G33" i="31"/>
  <c r="M33" i="31"/>
  <c r="J33" i="28"/>
  <c r="V33" i="28"/>
  <c r="J4" i="28"/>
  <c r="V4" i="28"/>
  <c r="B4" i="31"/>
  <c r="G4" i="31"/>
  <c r="M4" i="31"/>
  <c r="B17" i="31"/>
  <c r="G17" i="31"/>
  <c r="J17" i="28"/>
  <c r="V17" i="28"/>
  <c r="M17" i="31"/>
  <c r="J11" i="28"/>
  <c r="V11" i="28"/>
  <c r="M11" i="31"/>
  <c r="B11" i="31"/>
  <c r="G11" i="31"/>
  <c r="B39" i="31"/>
  <c r="G39" i="31"/>
  <c r="J39" i="28"/>
  <c r="V39" i="28"/>
  <c r="M39" i="31"/>
  <c r="B44" i="31"/>
  <c r="G44" i="31"/>
  <c r="M44" i="31"/>
  <c r="J44" i="28"/>
  <c r="V44" i="28"/>
  <c r="B18" i="31"/>
  <c r="G18" i="31"/>
  <c r="J18" i="28"/>
  <c r="V18" i="28"/>
  <c r="M18" i="31"/>
  <c r="B10" i="31"/>
  <c r="G10" i="31"/>
  <c r="J10" i="28"/>
  <c r="V10" i="28"/>
  <c r="M10" i="31"/>
  <c r="B28" i="31"/>
  <c r="G28" i="31"/>
  <c r="J28" i="28"/>
  <c r="V28" i="28"/>
  <c r="M28" i="31"/>
  <c r="B51" i="31"/>
  <c r="G51" i="31"/>
  <c r="J51" i="28"/>
  <c r="V51" i="28"/>
  <c r="M51" i="31"/>
  <c r="B80" i="31"/>
  <c r="G80" i="31"/>
  <c r="J80" i="28"/>
  <c r="V80" i="28"/>
  <c r="M80" i="31"/>
  <c r="B72" i="31"/>
  <c r="G72" i="31"/>
  <c r="M72" i="31"/>
  <c r="J72" i="28"/>
  <c r="V72" i="28"/>
  <c r="B40" i="31"/>
  <c r="G40" i="31"/>
  <c r="M40" i="31"/>
  <c r="J40" i="28"/>
  <c r="V40" i="28"/>
  <c r="B45" i="31"/>
  <c r="G45" i="31"/>
  <c r="M45" i="31"/>
  <c r="J45" i="28"/>
  <c r="V45" i="28"/>
  <c r="M63" i="31"/>
  <c r="B63" i="31"/>
  <c r="G63" i="31"/>
  <c r="J63" i="28"/>
  <c r="V63" i="28"/>
  <c r="B37" i="31"/>
  <c r="G37" i="31"/>
  <c r="J37" i="28"/>
  <c r="V37" i="28"/>
  <c r="M37" i="31"/>
  <c r="L50" i="12"/>
  <c r="B79" i="31"/>
  <c r="G79" i="31"/>
  <c r="M79" i="31"/>
  <c r="M8" i="31"/>
  <c r="J79" i="28"/>
  <c r="V79" i="28"/>
  <c r="J8" i="28"/>
  <c r="AL113" i="28"/>
  <c r="AN113" i="28"/>
  <c r="AS113" i="28"/>
  <c r="CT113" i="28"/>
  <c r="CU113" i="28"/>
  <c r="CP113" i="28"/>
  <c r="CQ113" i="28"/>
  <c r="CP89" i="28"/>
  <c r="CY89" i="28"/>
  <c r="AI89" i="28"/>
  <c r="AK89" i="28"/>
  <c r="AM89" i="28"/>
  <c r="CP93" i="28"/>
  <c r="CY93" i="28"/>
  <c r="AI113" i="28"/>
  <c r="AK113" i="28"/>
  <c r="AM113" i="28"/>
  <c r="CP112" i="28"/>
  <c r="CQ112" i="28"/>
  <c r="AI112" i="28"/>
  <c r="AK112" i="28"/>
  <c r="AM112" i="28"/>
  <c r="CP94" i="28"/>
  <c r="CQ94" i="28"/>
  <c r="AI94" i="28"/>
  <c r="AK94" i="28"/>
  <c r="AM94" i="28"/>
  <c r="CP90" i="28"/>
  <c r="CY90" i="28"/>
  <c r="AI90" i="28"/>
  <c r="AK90" i="28"/>
  <c r="AM90" i="28"/>
  <c r="CP88" i="28"/>
  <c r="CY88" i="28"/>
  <c r="AI88" i="28"/>
  <c r="AK88" i="28"/>
  <c r="AM88" i="28"/>
  <c r="CP91" i="28"/>
  <c r="CY91" i="28"/>
  <c r="AI91" i="28"/>
  <c r="AK91" i="28"/>
  <c r="AM91" i="28"/>
  <c r="CP87" i="28"/>
  <c r="CY87" i="28"/>
  <c r="AI87" i="28"/>
  <c r="AK87" i="28"/>
  <c r="AM87" i="28"/>
  <c r="AL87" i="28"/>
  <c r="AN87" i="28"/>
  <c r="AS87" i="28"/>
  <c r="CT87" i="28"/>
  <c r="CU87" i="28"/>
  <c r="CP92" i="28"/>
  <c r="CY92" i="28"/>
  <c r="AI92" i="28"/>
  <c r="AK92" i="28"/>
  <c r="AM92" i="28"/>
  <c r="AL92" i="28"/>
  <c r="AN92" i="28"/>
  <c r="AS92" i="28"/>
  <c r="CT92" i="28"/>
  <c r="CU92" i="28"/>
  <c r="AT60" i="28"/>
  <c r="AV60" i="28"/>
  <c r="AU59" i="28"/>
  <c r="AI111" i="28"/>
  <c r="AK111" i="28"/>
  <c r="AM111" i="28"/>
  <c r="CP111" i="28"/>
  <c r="CY111" i="28"/>
  <c r="CP95" i="28"/>
  <c r="CY95" i="28"/>
  <c r="AI95" i="28"/>
  <c r="AK95" i="28"/>
  <c r="AM95" i="28"/>
  <c r="CP110" i="28"/>
  <c r="CQ110" i="28"/>
  <c r="AI110" i="28"/>
  <c r="AK110" i="28"/>
  <c r="AM110" i="28"/>
  <c r="EL22" i="28"/>
  <c r="EQ21" i="28"/>
  <c r="EP21" i="28"/>
  <c r="CP108" i="28"/>
  <c r="CQ108" i="28"/>
  <c r="AI108" i="28"/>
  <c r="AK108" i="28"/>
  <c r="AM108" i="28"/>
  <c r="BR42" i="28"/>
  <c r="BT42" i="28"/>
  <c r="BS41" i="28"/>
  <c r="DB23" i="28"/>
  <c r="CP98" i="28"/>
  <c r="CY98" i="28"/>
  <c r="AI98" i="28"/>
  <c r="AK98" i="28"/>
  <c r="AM98" i="28"/>
  <c r="CP103" i="28"/>
  <c r="CQ103" i="28"/>
  <c r="AL103" i="28"/>
  <c r="AN103" i="28"/>
  <c r="AS103" i="28"/>
  <c r="CT103" i="28"/>
  <c r="CU103" i="28"/>
  <c r="AI103" i="28"/>
  <c r="AK103" i="28"/>
  <c r="AM103" i="28"/>
  <c r="CP107" i="28"/>
  <c r="CQ107" i="28"/>
  <c r="AL107" i="28"/>
  <c r="AN107" i="28"/>
  <c r="AS107" i="28"/>
  <c r="CT107" i="28"/>
  <c r="CU107" i="28"/>
  <c r="AI107" i="28"/>
  <c r="AK107" i="28"/>
  <c r="AM107" i="28"/>
  <c r="CP106" i="28"/>
  <c r="CQ106" i="28"/>
  <c r="AL106" i="28"/>
  <c r="AN106" i="28"/>
  <c r="AS106" i="28"/>
  <c r="CT106" i="28"/>
  <c r="CU106" i="28"/>
  <c r="AI106" i="28"/>
  <c r="AK106" i="28"/>
  <c r="AM106" i="28"/>
  <c r="CP97" i="28"/>
  <c r="CY97" i="28"/>
  <c r="AI97" i="28"/>
  <c r="AK97" i="28"/>
  <c r="AM97" i="28"/>
  <c r="AL97" i="28"/>
  <c r="AN97" i="28"/>
  <c r="AS97" i="28"/>
  <c r="CT97" i="28"/>
  <c r="CU97" i="28"/>
  <c r="BF22" i="28"/>
  <c r="BH22" i="28"/>
  <c r="BG21" i="28"/>
  <c r="CP96" i="28"/>
  <c r="CY96" i="28"/>
  <c r="AI96" i="28"/>
  <c r="AK96" i="28"/>
  <c r="AM96" i="28"/>
  <c r="AL96" i="28"/>
  <c r="AN96" i="28"/>
  <c r="AS96" i="28"/>
  <c r="CT96" i="28"/>
  <c r="CU96" i="28"/>
  <c r="CP102" i="28"/>
  <c r="CQ102" i="28"/>
  <c r="AI102" i="28"/>
  <c r="AK102" i="28"/>
  <c r="AM102" i="28"/>
  <c r="CP104" i="28"/>
  <c r="CQ104" i="28"/>
  <c r="AI104" i="28"/>
  <c r="AK104" i="28"/>
  <c r="AM104" i="28"/>
  <c r="CP100" i="28"/>
  <c r="CQ100" i="28"/>
  <c r="AI100" i="28"/>
  <c r="AK100" i="28"/>
  <c r="AM100" i="28"/>
  <c r="CP99" i="28"/>
  <c r="CQ99" i="28"/>
  <c r="AI99" i="28"/>
  <c r="AK99" i="28"/>
  <c r="AM99" i="28"/>
  <c r="DZ9" i="28"/>
  <c r="DN9" i="28"/>
  <c r="B18" i="11"/>
  <c r="CD110" i="28"/>
  <c r="CE110" i="28"/>
  <c r="CD112" i="28"/>
  <c r="CE112" i="28"/>
  <c r="AI105" i="28"/>
  <c r="AK105" i="28"/>
  <c r="AM105" i="28"/>
  <c r="AI114" i="28"/>
  <c r="AK114" i="28"/>
  <c r="AM114" i="28"/>
  <c r="AO114" i="28"/>
  <c r="AP114" i="28"/>
  <c r="CP105" i="28"/>
  <c r="CQ105" i="28"/>
  <c r="AI109" i="28"/>
  <c r="AK109" i="28"/>
  <c r="AM109" i="28"/>
  <c r="AO109" i="28"/>
  <c r="AP109" i="28"/>
  <c r="AI101" i="28"/>
  <c r="AK101" i="28"/>
  <c r="AM101" i="28"/>
  <c r="W110" i="28"/>
  <c r="Y110" i="28"/>
  <c r="AA110" i="28"/>
  <c r="AC110" i="28"/>
  <c r="CP109" i="28"/>
  <c r="CQ109" i="28"/>
  <c r="CP101" i="28"/>
  <c r="CQ101" i="28"/>
  <c r="CM113" i="28"/>
  <c r="CE113" i="28"/>
  <c r="K8" i="29"/>
  <c r="D4" i="29"/>
  <c r="V8" i="28"/>
  <c r="X19" i="11"/>
  <c r="I19" i="11"/>
  <c r="N19" i="11"/>
  <c r="J19" i="11"/>
  <c r="O19" i="11"/>
  <c r="AF10" i="11"/>
  <c r="I219" i="11"/>
  <c r="I217" i="11"/>
  <c r="I215" i="11"/>
  <c r="N215" i="11"/>
  <c r="I213" i="11"/>
  <c r="N213" i="11"/>
  <c r="I211" i="11"/>
  <c r="N211" i="11"/>
  <c r="I209" i="11"/>
  <c r="N209" i="11"/>
  <c r="I207" i="11"/>
  <c r="N207" i="11"/>
  <c r="I205" i="11"/>
  <c r="N205" i="11"/>
  <c r="I203" i="11"/>
  <c r="I201" i="11"/>
  <c r="I199" i="11"/>
  <c r="N199" i="11"/>
  <c r="I197" i="11"/>
  <c r="N197" i="11"/>
  <c r="I195" i="11"/>
  <c r="N195" i="11"/>
  <c r="I193" i="11"/>
  <c r="N193" i="11"/>
  <c r="X219" i="11"/>
  <c r="X217" i="11"/>
  <c r="X215" i="11"/>
  <c r="X213" i="11"/>
  <c r="X211" i="11"/>
  <c r="X209" i="11"/>
  <c r="X207" i="11"/>
  <c r="X205" i="11"/>
  <c r="X203" i="11"/>
  <c r="X201" i="11"/>
  <c r="X199" i="11"/>
  <c r="I218" i="11"/>
  <c r="I216" i="11"/>
  <c r="N216" i="11"/>
  <c r="I214" i="11"/>
  <c r="N214" i="11"/>
  <c r="I212" i="11"/>
  <c r="N212" i="11"/>
  <c r="I210" i="11"/>
  <c r="N210" i="11"/>
  <c r="I208" i="11"/>
  <c r="N208" i="11"/>
  <c r="I206" i="11"/>
  <c r="N206" i="11"/>
  <c r="I204" i="11"/>
  <c r="I202" i="11"/>
  <c r="I200" i="11"/>
  <c r="N200" i="11"/>
  <c r="I198" i="11"/>
  <c r="N198" i="11"/>
  <c r="X218" i="11"/>
  <c r="X216" i="11"/>
  <c r="X214" i="11"/>
  <c r="X212" i="11"/>
  <c r="X210" i="11"/>
  <c r="X208" i="11"/>
  <c r="X206" i="11"/>
  <c r="X195" i="11"/>
  <c r="I192" i="11"/>
  <c r="N192" i="11"/>
  <c r="X190" i="11"/>
  <c r="X186" i="11"/>
  <c r="X202" i="11"/>
  <c r="I185" i="11"/>
  <c r="I183" i="11"/>
  <c r="N183" i="11"/>
  <c r="I181" i="11"/>
  <c r="N181" i="11"/>
  <c r="I179" i="11"/>
  <c r="N179" i="11"/>
  <c r="I177" i="11"/>
  <c r="N177" i="11"/>
  <c r="I175" i="11"/>
  <c r="N175" i="11"/>
  <c r="I173" i="11"/>
  <c r="I171" i="11"/>
  <c r="I169" i="11"/>
  <c r="I167" i="11"/>
  <c r="N167" i="11"/>
  <c r="I165" i="11"/>
  <c r="N165" i="11"/>
  <c r="I194" i="11"/>
  <c r="I189" i="11"/>
  <c r="I188" i="11"/>
  <c r="X185" i="11"/>
  <c r="X183" i="11"/>
  <c r="X181" i="11"/>
  <c r="X179" i="11"/>
  <c r="X177" i="11"/>
  <c r="X175" i="11"/>
  <c r="X173" i="11"/>
  <c r="X171" i="11"/>
  <c r="X169" i="11"/>
  <c r="X167" i="11"/>
  <c r="X165" i="11"/>
  <c r="X163" i="11"/>
  <c r="X194" i="11"/>
  <c r="X191" i="11"/>
  <c r="I190" i="11"/>
  <c r="X200" i="11"/>
  <c r="X193" i="11"/>
  <c r="I191" i="11"/>
  <c r="N191" i="11"/>
  <c r="I187" i="11"/>
  <c r="N187" i="11"/>
  <c r="X204" i="11"/>
  <c r="X197" i="11"/>
  <c r="I196" i="11"/>
  <c r="X188" i="11"/>
  <c r="X184" i="11"/>
  <c r="X182" i="11"/>
  <c r="X180" i="11"/>
  <c r="X178" i="11"/>
  <c r="X176" i="11"/>
  <c r="X174" i="11"/>
  <c r="X172" i="11"/>
  <c r="X170" i="11"/>
  <c r="X168" i="11"/>
  <c r="X166" i="11"/>
  <c r="X164" i="11"/>
  <c r="I163" i="11"/>
  <c r="I161" i="11"/>
  <c r="N161" i="11"/>
  <c r="I159" i="11"/>
  <c r="N159" i="11"/>
  <c r="I157" i="11"/>
  <c r="N157" i="11"/>
  <c r="I155" i="11"/>
  <c r="N155" i="11"/>
  <c r="I153" i="11"/>
  <c r="N153" i="11"/>
  <c r="I151" i="11"/>
  <c r="N151" i="11"/>
  <c r="I149" i="11"/>
  <c r="I147" i="11"/>
  <c r="I145" i="11"/>
  <c r="N145" i="11"/>
  <c r="I143" i="11"/>
  <c r="N143" i="11"/>
  <c r="I141" i="11"/>
  <c r="N141" i="11"/>
  <c r="I139" i="11"/>
  <c r="N139" i="11"/>
  <c r="X196" i="11"/>
  <c r="X192" i="11"/>
  <c r="I184" i="11"/>
  <c r="I180" i="11"/>
  <c r="N180" i="11"/>
  <c r="I176" i="11"/>
  <c r="N176" i="11"/>
  <c r="I172" i="11"/>
  <c r="N172" i="11"/>
  <c r="I168" i="11"/>
  <c r="N168" i="11"/>
  <c r="I164" i="11"/>
  <c r="X161" i="11"/>
  <c r="X159" i="11"/>
  <c r="X157" i="11"/>
  <c r="X155" i="11"/>
  <c r="X153" i="11"/>
  <c r="X151" i="11"/>
  <c r="X149" i="11"/>
  <c r="X147" i="11"/>
  <c r="X145" i="11"/>
  <c r="X143" i="11"/>
  <c r="X141" i="11"/>
  <c r="X139" i="11"/>
  <c r="X137" i="11"/>
  <c r="X189" i="11"/>
  <c r="I162" i="11"/>
  <c r="N162" i="11"/>
  <c r="I160" i="11"/>
  <c r="N160" i="11"/>
  <c r="I158" i="11"/>
  <c r="N158" i="11"/>
  <c r="I156" i="11"/>
  <c r="N156" i="11"/>
  <c r="I154" i="11"/>
  <c r="N154" i="11"/>
  <c r="I152" i="11"/>
  <c r="I150" i="11"/>
  <c r="I148" i="11"/>
  <c r="I146" i="11"/>
  <c r="I144" i="11"/>
  <c r="N144" i="11"/>
  <c r="I142" i="11"/>
  <c r="N142" i="11"/>
  <c r="I140" i="11"/>
  <c r="N140" i="11"/>
  <c r="I138" i="11"/>
  <c r="N138" i="11"/>
  <c r="I136" i="11"/>
  <c r="N136" i="11"/>
  <c r="I134" i="11"/>
  <c r="N134" i="11"/>
  <c r="I132" i="11"/>
  <c r="X198" i="11"/>
  <c r="I186" i="11"/>
  <c r="N186" i="11"/>
  <c r="I182" i="11"/>
  <c r="I178" i="11"/>
  <c r="I174" i="11"/>
  <c r="I170" i="11"/>
  <c r="N170" i="11"/>
  <c r="I166" i="11"/>
  <c r="X162" i="11"/>
  <c r="X160" i="11"/>
  <c r="X158" i="11"/>
  <c r="X156" i="11"/>
  <c r="X154" i="11"/>
  <c r="X152" i="11"/>
  <c r="X150" i="11"/>
  <c r="X187" i="11"/>
  <c r="X148" i="11"/>
  <c r="X133" i="11"/>
  <c r="I131" i="11"/>
  <c r="N131" i="11"/>
  <c r="X142" i="11"/>
  <c r="X136" i="11"/>
  <c r="X132" i="11"/>
  <c r="I135" i="11"/>
  <c r="N135" i="11"/>
  <c r="I130" i="11"/>
  <c r="I128" i="11"/>
  <c r="N128" i="11"/>
  <c r="I126" i="11"/>
  <c r="N126" i="11"/>
  <c r="I124" i="11"/>
  <c r="N124" i="11"/>
  <c r="I122" i="11"/>
  <c r="N122" i="11"/>
  <c r="I120" i="11"/>
  <c r="N120" i="11"/>
  <c r="I118" i="11"/>
  <c r="I116" i="11"/>
  <c r="N116" i="11"/>
  <c r="I114" i="11"/>
  <c r="I112" i="11"/>
  <c r="I110" i="11"/>
  <c r="N110" i="11"/>
  <c r="I108" i="11"/>
  <c r="N108" i="11"/>
  <c r="X146" i="11"/>
  <c r="X131" i="11"/>
  <c r="X128" i="11"/>
  <c r="X126" i="11"/>
  <c r="X124" i="11"/>
  <c r="X122" i="11"/>
  <c r="X140" i="11"/>
  <c r="X130" i="11"/>
  <c r="I137" i="11"/>
  <c r="N137" i="11"/>
  <c r="I133" i="11"/>
  <c r="N133" i="11"/>
  <c r="I129" i="11"/>
  <c r="X127" i="11"/>
  <c r="X108" i="11"/>
  <c r="X107" i="11"/>
  <c r="I119" i="11"/>
  <c r="N119" i="11"/>
  <c r="I115" i="11"/>
  <c r="N115" i="11"/>
  <c r="I111" i="11"/>
  <c r="X119" i="11"/>
  <c r="X115" i="11"/>
  <c r="X111" i="11"/>
  <c r="X109" i="11"/>
  <c r="I106" i="11"/>
  <c r="N106" i="11"/>
  <c r="I104" i="11"/>
  <c r="N104" i="11"/>
  <c r="I102" i="11"/>
  <c r="N102" i="11"/>
  <c r="I100" i="11"/>
  <c r="N100" i="11"/>
  <c r="I98" i="11"/>
  <c r="N98" i="11"/>
  <c r="I96" i="11"/>
  <c r="N96" i="11"/>
  <c r="I94" i="11"/>
  <c r="N94" i="11"/>
  <c r="I92" i="11"/>
  <c r="N92" i="11"/>
  <c r="I90" i="11"/>
  <c r="N90" i="11"/>
  <c r="I88" i="11"/>
  <c r="N88" i="11"/>
  <c r="X134" i="11"/>
  <c r="I127" i="11"/>
  <c r="N127" i="11"/>
  <c r="X125" i="11"/>
  <c r="I123" i="11"/>
  <c r="N123" i="11"/>
  <c r="X118" i="11"/>
  <c r="X114" i="11"/>
  <c r="X110" i="11"/>
  <c r="X106" i="11"/>
  <c r="X104" i="11"/>
  <c r="X102" i="11"/>
  <c r="X100" i="11"/>
  <c r="X98" i="11"/>
  <c r="X96" i="11"/>
  <c r="X94" i="11"/>
  <c r="X92" i="11"/>
  <c r="X90" i="11"/>
  <c r="X88" i="11"/>
  <c r="X86" i="11"/>
  <c r="X138" i="11"/>
  <c r="X129" i="11"/>
  <c r="I121" i="11"/>
  <c r="N121" i="11"/>
  <c r="I117" i="11"/>
  <c r="N117" i="11"/>
  <c r="I113" i="11"/>
  <c r="I109" i="11"/>
  <c r="I125" i="11"/>
  <c r="N125" i="11"/>
  <c r="X123" i="11"/>
  <c r="X121" i="11"/>
  <c r="X117" i="11"/>
  <c r="X113" i="11"/>
  <c r="I107" i="11"/>
  <c r="I105" i="11"/>
  <c r="N105" i="11"/>
  <c r="I103" i="11"/>
  <c r="I101" i="11"/>
  <c r="N101" i="11"/>
  <c r="I99" i="11"/>
  <c r="I97" i="11"/>
  <c r="I95" i="11"/>
  <c r="I93" i="11"/>
  <c r="I91" i="11"/>
  <c r="I89" i="11"/>
  <c r="N89" i="11"/>
  <c r="I87" i="11"/>
  <c r="N87" i="11"/>
  <c r="X101" i="11"/>
  <c r="X93" i="11"/>
  <c r="I86" i="11"/>
  <c r="I84" i="11"/>
  <c r="N84" i="11"/>
  <c r="I82" i="11"/>
  <c r="N82" i="11"/>
  <c r="I80" i="11"/>
  <c r="N80" i="11"/>
  <c r="I78" i="11"/>
  <c r="N78" i="11"/>
  <c r="I76" i="11"/>
  <c r="N76" i="11"/>
  <c r="I74" i="11"/>
  <c r="N74" i="11"/>
  <c r="I72" i="11"/>
  <c r="I70" i="11"/>
  <c r="N70" i="11"/>
  <c r="I68" i="11"/>
  <c r="N68" i="11"/>
  <c r="I66" i="11"/>
  <c r="N66" i="11"/>
  <c r="I64" i="11"/>
  <c r="N64" i="11"/>
  <c r="I62" i="11"/>
  <c r="N62" i="11"/>
  <c r="I60" i="11"/>
  <c r="N60" i="11"/>
  <c r="I58" i="11"/>
  <c r="N58" i="11"/>
  <c r="I56" i="11"/>
  <c r="X135" i="11"/>
  <c r="X120" i="11"/>
  <c r="X116" i="11"/>
  <c r="X112" i="11"/>
  <c r="X103" i="11"/>
  <c r="X95" i="11"/>
  <c r="X87" i="11"/>
  <c r="X84" i="11"/>
  <c r="X82" i="11"/>
  <c r="X80" i="11"/>
  <c r="X78" i="11"/>
  <c r="X76" i="11"/>
  <c r="X74" i="11"/>
  <c r="X72" i="11"/>
  <c r="X70" i="11"/>
  <c r="X68" i="11"/>
  <c r="X66" i="11"/>
  <c r="X64" i="11"/>
  <c r="X62" i="11"/>
  <c r="X60" i="11"/>
  <c r="X58" i="11"/>
  <c r="X105" i="11"/>
  <c r="X97" i="11"/>
  <c r="X89" i="11"/>
  <c r="N86" i="11"/>
  <c r="I85" i="11"/>
  <c r="I83" i="11"/>
  <c r="I81" i="11"/>
  <c r="N81" i="11"/>
  <c r="I79" i="11"/>
  <c r="N79" i="11"/>
  <c r="I77" i="11"/>
  <c r="N77" i="11"/>
  <c r="I75" i="11"/>
  <c r="N75" i="11"/>
  <c r="I73" i="11"/>
  <c r="I71" i="11"/>
  <c r="I69" i="11"/>
  <c r="I67" i="11"/>
  <c r="I65" i="11"/>
  <c r="N65" i="11"/>
  <c r="I63" i="11"/>
  <c r="N63" i="11"/>
  <c r="I61" i="11"/>
  <c r="N61" i="11"/>
  <c r="I59" i="11"/>
  <c r="N59" i="11"/>
  <c r="I57" i="11"/>
  <c r="N57" i="11"/>
  <c r="X144" i="11"/>
  <c r="X99" i="11"/>
  <c r="X91" i="11"/>
  <c r="X85" i="11"/>
  <c r="X83" i="11"/>
  <c r="X81" i="11"/>
  <c r="X79" i="11"/>
  <c r="X77" i="11"/>
  <c r="X75" i="11"/>
  <c r="X73" i="11"/>
  <c r="X71" i="11"/>
  <c r="X69" i="11"/>
  <c r="X67" i="11"/>
  <c r="X65" i="11"/>
  <c r="X63" i="11"/>
  <c r="X61" i="11"/>
  <c r="X59" i="11"/>
  <c r="X57" i="11"/>
  <c r="I54" i="11"/>
  <c r="N54" i="11"/>
  <c r="I52" i="11"/>
  <c r="N52" i="11"/>
  <c r="I50" i="11"/>
  <c r="N50" i="11"/>
  <c r="I48" i="11"/>
  <c r="X56" i="11"/>
  <c r="X54" i="11"/>
  <c r="X52" i="11"/>
  <c r="X50" i="11"/>
  <c r="X48" i="11"/>
  <c r="I46" i="11"/>
  <c r="N46" i="11"/>
  <c r="I44" i="11"/>
  <c r="I42" i="11"/>
  <c r="I40" i="11"/>
  <c r="I38" i="11"/>
  <c r="N38" i="11"/>
  <c r="I36" i="11"/>
  <c r="N36" i="11"/>
  <c r="I34" i="11"/>
  <c r="N34" i="11"/>
  <c r="I32" i="11"/>
  <c r="N32" i="11"/>
  <c r="I30" i="11"/>
  <c r="I28" i="11"/>
  <c r="I26" i="11"/>
  <c r="I24" i="11"/>
  <c r="X46" i="11"/>
  <c r="X44" i="11"/>
  <c r="X42" i="11"/>
  <c r="X40" i="11"/>
  <c r="X38" i="11"/>
  <c r="X36" i="11"/>
  <c r="X34" i="11"/>
  <c r="X32" i="11"/>
  <c r="X30" i="11"/>
  <c r="X28" i="11"/>
  <c r="X26" i="11"/>
  <c r="X24" i="11"/>
  <c r="X22" i="11"/>
  <c r="X53" i="11"/>
  <c r="X51" i="11"/>
  <c r="X49" i="11"/>
  <c r="I47" i="11"/>
  <c r="I45" i="11"/>
  <c r="I43" i="11"/>
  <c r="I41" i="11"/>
  <c r="N41" i="11"/>
  <c r="I39" i="11"/>
  <c r="N39" i="11"/>
  <c r="I37" i="11"/>
  <c r="N37" i="11"/>
  <c r="I35" i="11"/>
  <c r="N35" i="11"/>
  <c r="I33" i="11"/>
  <c r="N33" i="11"/>
  <c r="I31" i="11"/>
  <c r="I29" i="11"/>
  <c r="I27" i="11"/>
  <c r="I25" i="11"/>
  <c r="N25" i="11"/>
  <c r="I23" i="11"/>
  <c r="N23" i="11"/>
  <c r="I21" i="11"/>
  <c r="N21" i="11"/>
  <c r="X55" i="11"/>
  <c r="X47" i="11"/>
  <c r="X45" i="11"/>
  <c r="X43" i="11"/>
  <c r="X41" i="11"/>
  <c r="X39" i="11"/>
  <c r="X37" i="11"/>
  <c r="X35" i="11"/>
  <c r="X33" i="11"/>
  <c r="X31" i="11"/>
  <c r="X29" i="11"/>
  <c r="X27" i="11"/>
  <c r="X25" i="11"/>
  <c r="X23" i="11"/>
  <c r="X21" i="11"/>
  <c r="R4" i="11"/>
  <c r="R6" i="11"/>
  <c r="I49" i="11"/>
  <c r="N49" i="11"/>
  <c r="AF6" i="11"/>
  <c r="I51" i="11"/>
  <c r="AE6" i="11"/>
  <c r="I53" i="11"/>
  <c r="I22" i="11"/>
  <c r="AD6" i="11"/>
  <c r="I55" i="11"/>
  <c r="AC6" i="11"/>
  <c r="S4" i="11"/>
  <c r="S6" i="11"/>
  <c r="I20" i="11"/>
  <c r="T4" i="11"/>
  <c r="T6" i="11"/>
  <c r="X20" i="11"/>
  <c r="J217" i="11"/>
  <c r="O217" i="11"/>
  <c r="J201" i="11"/>
  <c r="O201" i="11"/>
  <c r="J208" i="11"/>
  <c r="O208" i="11"/>
  <c r="J173" i="11"/>
  <c r="O173" i="11"/>
  <c r="J194" i="11"/>
  <c r="O194" i="11"/>
  <c r="J182" i="11"/>
  <c r="O182" i="11"/>
  <c r="J166" i="11"/>
  <c r="O166" i="11"/>
  <c r="J162" i="11"/>
  <c r="O162" i="11"/>
  <c r="J146" i="11"/>
  <c r="O146" i="11"/>
  <c r="J147" i="11"/>
  <c r="O147" i="11"/>
  <c r="J122" i="11"/>
  <c r="O122" i="11"/>
  <c r="J132" i="11"/>
  <c r="O132" i="11"/>
  <c r="J100" i="11"/>
  <c r="O100" i="11"/>
  <c r="J121" i="11"/>
  <c r="O121" i="11"/>
  <c r="J131" i="11"/>
  <c r="O131" i="11"/>
  <c r="J101" i="11"/>
  <c r="O101" i="11"/>
  <c r="J78" i="11"/>
  <c r="O78" i="11"/>
  <c r="J62" i="11"/>
  <c r="O62" i="11"/>
  <c r="J77" i="11"/>
  <c r="O77" i="11"/>
  <c r="J61" i="11"/>
  <c r="O61" i="11"/>
  <c r="J60" i="11"/>
  <c r="O60" i="11"/>
  <c r="J40" i="11"/>
  <c r="O40" i="11"/>
  <c r="J24" i="11"/>
  <c r="O24" i="11"/>
  <c r="J29" i="11"/>
  <c r="O29" i="11"/>
  <c r="J37" i="11"/>
  <c r="O37" i="11"/>
  <c r="J23" i="11"/>
  <c r="O23" i="11"/>
  <c r="J53" i="11"/>
  <c r="O53" i="11"/>
  <c r="J215" i="11"/>
  <c r="O215" i="11"/>
  <c r="J199" i="11"/>
  <c r="O199" i="11"/>
  <c r="J171" i="11"/>
  <c r="O171" i="11"/>
  <c r="J189" i="11"/>
  <c r="O189" i="11"/>
  <c r="J190" i="11"/>
  <c r="O190" i="11"/>
  <c r="J180" i="11"/>
  <c r="O180" i="11"/>
  <c r="J164" i="11"/>
  <c r="O164" i="11"/>
  <c r="J160" i="11"/>
  <c r="O160" i="11"/>
  <c r="J144" i="11"/>
  <c r="O144" i="11"/>
  <c r="J135" i="11"/>
  <c r="O135" i="11"/>
  <c r="J120" i="11"/>
  <c r="O120" i="11"/>
  <c r="J98" i="11"/>
  <c r="O98" i="11"/>
  <c r="J123" i="11"/>
  <c r="O123" i="11"/>
  <c r="J117" i="11"/>
  <c r="O117" i="11"/>
  <c r="J99" i="11"/>
  <c r="O99" i="11"/>
  <c r="J76" i="11"/>
  <c r="O76" i="11"/>
  <c r="J75" i="11"/>
  <c r="O75" i="11"/>
  <c r="J59" i="11"/>
  <c r="O59" i="11"/>
  <c r="J38" i="11"/>
  <c r="O38" i="11"/>
  <c r="J22" i="11"/>
  <c r="O22" i="11"/>
  <c r="J56" i="11"/>
  <c r="O56" i="11"/>
  <c r="J55" i="11"/>
  <c r="O55" i="11"/>
  <c r="J21" i="11"/>
  <c r="O21" i="11"/>
  <c r="J213" i="11"/>
  <c r="O213" i="11"/>
  <c r="J197" i="11"/>
  <c r="O197" i="11"/>
  <c r="J185" i="11"/>
  <c r="O185" i="11"/>
  <c r="J169" i="11"/>
  <c r="O169" i="11"/>
  <c r="J188" i="11"/>
  <c r="O188" i="11"/>
  <c r="J214" i="11"/>
  <c r="O214" i="11"/>
  <c r="J216" i="11"/>
  <c r="O216" i="11"/>
  <c r="J178" i="11"/>
  <c r="O178" i="11"/>
  <c r="J218" i="11"/>
  <c r="O218" i="11"/>
  <c r="J206" i="11"/>
  <c r="O206" i="11"/>
  <c r="J158" i="11"/>
  <c r="O158" i="11"/>
  <c r="J142" i="11"/>
  <c r="O142" i="11"/>
  <c r="J153" i="11"/>
  <c r="O153" i="11"/>
  <c r="J118" i="11"/>
  <c r="O118" i="11"/>
  <c r="J161" i="11"/>
  <c r="O161" i="11"/>
  <c r="J119" i="11"/>
  <c r="O119" i="11"/>
  <c r="J96" i="11"/>
  <c r="O96" i="11"/>
  <c r="J113" i="11"/>
  <c r="O113" i="11"/>
  <c r="J97" i="11"/>
  <c r="O97" i="11"/>
  <c r="J74" i="11"/>
  <c r="O74" i="11"/>
  <c r="J73" i="11"/>
  <c r="O73" i="11"/>
  <c r="J57" i="11"/>
  <c r="O57" i="11"/>
  <c r="J36" i="11"/>
  <c r="O36" i="11"/>
  <c r="J20" i="11"/>
  <c r="O20" i="11"/>
  <c r="J211" i="11"/>
  <c r="O211" i="11"/>
  <c r="J195" i="11"/>
  <c r="O195" i="11"/>
  <c r="J183" i="11"/>
  <c r="O183" i="11"/>
  <c r="J167" i="11"/>
  <c r="O167" i="11"/>
  <c r="J202" i="11"/>
  <c r="O202" i="11"/>
  <c r="J176" i="11"/>
  <c r="O176" i="11"/>
  <c r="J196" i="11"/>
  <c r="O196" i="11"/>
  <c r="J200" i="11"/>
  <c r="O200" i="11"/>
  <c r="J156" i="11"/>
  <c r="O156" i="11"/>
  <c r="J140" i="11"/>
  <c r="O140" i="11"/>
  <c r="J116" i="11"/>
  <c r="O116" i="11"/>
  <c r="J145" i="11"/>
  <c r="O145" i="11"/>
  <c r="J139" i="11"/>
  <c r="O139" i="11"/>
  <c r="J115" i="11"/>
  <c r="O115" i="11"/>
  <c r="J94" i="11"/>
  <c r="O94" i="11"/>
  <c r="J109" i="11"/>
  <c r="O109" i="11"/>
  <c r="J95" i="11"/>
  <c r="O95" i="11"/>
  <c r="J72" i="11"/>
  <c r="O72" i="11"/>
  <c r="J87" i="11"/>
  <c r="O87" i="11"/>
  <c r="J71" i="11"/>
  <c r="O71" i="11"/>
  <c r="J34" i="11"/>
  <c r="O34" i="11"/>
  <c r="J51" i="11"/>
  <c r="O51" i="11"/>
  <c r="R5" i="11"/>
  <c r="R7" i="11"/>
  <c r="J41" i="11"/>
  <c r="O41" i="11"/>
  <c r="J184" i="11"/>
  <c r="O184" i="11"/>
  <c r="J209" i="11"/>
  <c r="O209" i="11"/>
  <c r="J193" i="11"/>
  <c r="O193" i="11"/>
  <c r="J181" i="11"/>
  <c r="O181" i="11"/>
  <c r="J165" i="11"/>
  <c r="O165" i="11"/>
  <c r="J198" i="11"/>
  <c r="O198" i="11"/>
  <c r="J174" i="11"/>
  <c r="O174" i="11"/>
  <c r="J192" i="11"/>
  <c r="O192" i="11"/>
  <c r="J154" i="11"/>
  <c r="O154" i="11"/>
  <c r="J130" i="11"/>
  <c r="O130" i="11"/>
  <c r="J114" i="11"/>
  <c r="O114" i="11"/>
  <c r="J138" i="11"/>
  <c r="O138" i="11"/>
  <c r="J129" i="11"/>
  <c r="O129" i="11"/>
  <c r="J111" i="11"/>
  <c r="O111" i="11"/>
  <c r="J92" i="11"/>
  <c r="O92" i="11"/>
  <c r="J151" i="11"/>
  <c r="O151" i="11"/>
  <c r="J110" i="11"/>
  <c r="O110" i="11"/>
  <c r="J93" i="11"/>
  <c r="O93" i="11"/>
  <c r="J86" i="11"/>
  <c r="O86" i="11"/>
  <c r="J70" i="11"/>
  <c r="O70" i="11"/>
  <c r="J85" i="11"/>
  <c r="O85" i="11"/>
  <c r="J69" i="11"/>
  <c r="O69" i="11"/>
  <c r="J54" i="11"/>
  <c r="O54" i="11"/>
  <c r="J32" i="11"/>
  <c r="O32" i="11"/>
  <c r="J49" i="11"/>
  <c r="O49" i="11"/>
  <c r="J35" i="11"/>
  <c r="O35" i="11"/>
  <c r="T5" i="11"/>
  <c r="T7" i="11"/>
  <c r="J25" i="11"/>
  <c r="O25" i="11"/>
  <c r="J175" i="11"/>
  <c r="O175" i="11"/>
  <c r="J204" i="11"/>
  <c r="O204" i="11"/>
  <c r="J212" i="11"/>
  <c r="O212" i="11"/>
  <c r="J155" i="11"/>
  <c r="O155" i="11"/>
  <c r="J207" i="11"/>
  <c r="O207" i="11"/>
  <c r="J191" i="11"/>
  <c r="O191" i="11"/>
  <c r="J179" i="11"/>
  <c r="O179" i="11"/>
  <c r="J163" i="11"/>
  <c r="O163" i="11"/>
  <c r="J187" i="11"/>
  <c r="O187" i="11"/>
  <c r="J172" i="11"/>
  <c r="O172" i="11"/>
  <c r="J152" i="11"/>
  <c r="O152" i="11"/>
  <c r="J128" i="11"/>
  <c r="O128" i="11"/>
  <c r="J112" i="11"/>
  <c r="O112" i="11"/>
  <c r="J159" i="11"/>
  <c r="O159" i="11"/>
  <c r="J137" i="11"/>
  <c r="O137" i="11"/>
  <c r="J127" i="11"/>
  <c r="O127" i="11"/>
  <c r="J106" i="11"/>
  <c r="O106" i="11"/>
  <c r="J90" i="11"/>
  <c r="O90" i="11"/>
  <c r="J143" i="11"/>
  <c r="O143" i="11"/>
  <c r="J107" i="11"/>
  <c r="O107" i="11"/>
  <c r="J91" i="11"/>
  <c r="O91" i="11"/>
  <c r="J84" i="11"/>
  <c r="O84" i="11"/>
  <c r="J68" i="11"/>
  <c r="O68" i="11"/>
  <c r="J83" i="11"/>
  <c r="O83" i="11"/>
  <c r="J67" i="11"/>
  <c r="O67" i="11"/>
  <c r="J52" i="11"/>
  <c r="O52" i="11"/>
  <c r="J46" i="11"/>
  <c r="O46" i="11"/>
  <c r="J30" i="11"/>
  <c r="O30" i="11"/>
  <c r="J58" i="11"/>
  <c r="O58" i="11"/>
  <c r="J33" i="11"/>
  <c r="O33" i="11"/>
  <c r="S5" i="11"/>
  <c r="S7" i="11"/>
  <c r="J203" i="11"/>
  <c r="O203" i="11"/>
  <c r="J168" i="11"/>
  <c r="O168" i="11"/>
  <c r="J148" i="11"/>
  <c r="O148" i="11"/>
  <c r="J205" i="11"/>
  <c r="O205" i="11"/>
  <c r="J177" i="11"/>
  <c r="O177" i="11"/>
  <c r="J210" i="11"/>
  <c r="O210" i="11"/>
  <c r="J186" i="11"/>
  <c r="O186" i="11"/>
  <c r="J170" i="11"/>
  <c r="O170" i="11"/>
  <c r="J150" i="11"/>
  <c r="O150" i="11"/>
  <c r="J126" i="11"/>
  <c r="O126" i="11"/>
  <c r="J157" i="11"/>
  <c r="O157" i="11"/>
  <c r="J136" i="11"/>
  <c r="O136" i="11"/>
  <c r="J125" i="11"/>
  <c r="O125" i="11"/>
  <c r="J104" i="11"/>
  <c r="O104" i="11"/>
  <c r="J88" i="11"/>
  <c r="O88" i="11"/>
  <c r="J108" i="11"/>
  <c r="O108" i="11"/>
  <c r="J105" i="11"/>
  <c r="O105" i="11"/>
  <c r="J89" i="11"/>
  <c r="O89" i="11"/>
  <c r="J82" i="11"/>
  <c r="O82" i="11"/>
  <c r="J66" i="11"/>
  <c r="O66" i="11"/>
  <c r="J81" i="11"/>
  <c r="O81" i="11"/>
  <c r="J65" i="11"/>
  <c r="O65" i="11"/>
  <c r="J50" i="11"/>
  <c r="O50" i="11"/>
  <c r="J44" i="11"/>
  <c r="O44" i="11"/>
  <c r="J28" i="11"/>
  <c r="O28" i="11"/>
  <c r="J47" i="11"/>
  <c r="O47" i="11"/>
  <c r="J45" i="11"/>
  <c r="O45" i="11"/>
  <c r="J27" i="11"/>
  <c r="O27" i="11"/>
  <c r="J219" i="11"/>
  <c r="O219" i="11"/>
  <c r="J124" i="11"/>
  <c r="O124" i="11"/>
  <c r="J102" i="11"/>
  <c r="O102" i="11"/>
  <c r="J63" i="11"/>
  <c r="O63" i="11"/>
  <c r="J31" i="11"/>
  <c r="O31" i="11"/>
  <c r="J134" i="11"/>
  <c r="O134" i="11"/>
  <c r="J64" i="11"/>
  <c r="O64" i="11"/>
  <c r="J141" i="11"/>
  <c r="O141" i="11"/>
  <c r="J80" i="11"/>
  <c r="O80" i="11"/>
  <c r="J39" i="11"/>
  <c r="O39" i="11"/>
  <c r="J103" i="11"/>
  <c r="O103" i="11"/>
  <c r="J42" i="11"/>
  <c r="O42" i="11"/>
  <c r="J149" i="11"/>
  <c r="O149" i="11"/>
  <c r="J133" i="11"/>
  <c r="O133" i="11"/>
  <c r="J48" i="11"/>
  <c r="O48" i="11"/>
  <c r="J26" i="11"/>
  <c r="O26" i="11"/>
  <c r="J43" i="11"/>
  <c r="O43" i="11"/>
  <c r="J79" i="11"/>
  <c r="O79" i="11"/>
  <c r="X107" i="28"/>
  <c r="Z107" i="28"/>
  <c r="AB107" i="28"/>
  <c r="AG107" i="28"/>
  <c r="CH107" i="28"/>
  <c r="CI107" i="28"/>
  <c r="X104" i="28"/>
  <c r="Z104" i="28"/>
  <c r="AB104" i="28"/>
  <c r="AG104" i="28"/>
  <c r="CH104" i="28"/>
  <c r="CI104" i="28"/>
  <c r="CD107" i="28"/>
  <c r="CE107" i="28"/>
  <c r="CY108" i="28"/>
  <c r="CY110" i="28"/>
  <c r="CY105" i="28"/>
  <c r="CY106" i="28"/>
  <c r="CY101" i="28"/>
  <c r="CM112" i="28"/>
  <c r="CY109" i="28"/>
  <c r="CY112" i="28"/>
  <c r="CY107" i="28"/>
  <c r="CM110" i="28"/>
  <c r="CY94" i="28"/>
  <c r="CY103" i="28"/>
  <c r="CY102" i="28"/>
  <c r="CY113" i="28"/>
  <c r="CY104" i="28"/>
  <c r="CY100" i="28"/>
  <c r="CY99" i="28"/>
  <c r="W113" i="28"/>
  <c r="Y113" i="28"/>
  <c r="AA113" i="28"/>
  <c r="CD104" i="28"/>
  <c r="X113" i="28"/>
  <c r="Z113" i="28"/>
  <c r="AB113" i="28"/>
  <c r="AG113" i="28"/>
  <c r="CH113" i="28"/>
  <c r="CI113" i="28"/>
  <c r="CK113" i="28"/>
  <c r="CW114" i="28"/>
  <c r="CQ114" i="28"/>
  <c r="CQ90" i="28"/>
  <c r="X108" i="28"/>
  <c r="Z108" i="28"/>
  <c r="AB108" i="28"/>
  <c r="AG108" i="28"/>
  <c r="CH108" i="28"/>
  <c r="CI108" i="28"/>
  <c r="CQ92" i="28"/>
  <c r="CQ93" i="28"/>
  <c r="CD108" i="28"/>
  <c r="CQ95" i="28"/>
  <c r="CQ111" i="28"/>
  <c r="CQ97" i="28"/>
  <c r="CQ91" i="28"/>
  <c r="CQ96" i="28"/>
  <c r="CQ87" i="28"/>
  <c r="CQ89" i="28"/>
  <c r="AO89" i="28"/>
  <c r="X109" i="28"/>
  <c r="Z109" i="28"/>
  <c r="AB109" i="28"/>
  <c r="AG109" i="28"/>
  <c r="CH109" i="28"/>
  <c r="CI109" i="28"/>
  <c r="W109" i="28"/>
  <c r="Y109" i="28"/>
  <c r="AA109" i="28"/>
  <c r="CQ88" i="28"/>
  <c r="CD109" i="28"/>
  <c r="BH8" i="28"/>
  <c r="BJ8" i="28"/>
  <c r="AV8" i="28"/>
  <c r="AX8" i="28"/>
  <c r="BT8" i="28"/>
  <c r="BV8" i="28"/>
  <c r="CD106" i="28"/>
  <c r="X106" i="28"/>
  <c r="Z106" i="28"/>
  <c r="AB106" i="28"/>
  <c r="CQ98" i="28"/>
  <c r="CD99" i="28"/>
  <c r="Z99" i="28"/>
  <c r="AB99" i="28"/>
  <c r="AG99" i="28"/>
  <c r="CH99" i="28"/>
  <c r="CI99" i="28"/>
  <c r="W99" i="28"/>
  <c r="Y99" i="28"/>
  <c r="AA99" i="28"/>
  <c r="Z98" i="28"/>
  <c r="AB98" i="28"/>
  <c r="AG98" i="28"/>
  <c r="CH98" i="28"/>
  <c r="CI98" i="28"/>
  <c r="W98" i="28"/>
  <c r="Y98" i="28"/>
  <c r="AA98" i="28"/>
  <c r="CD98" i="28"/>
  <c r="Z89" i="28"/>
  <c r="AB89" i="28"/>
  <c r="AG89" i="28"/>
  <c r="CH89" i="28"/>
  <c r="CI89" i="28"/>
  <c r="CD89" i="28"/>
  <c r="W89" i="28"/>
  <c r="Y89" i="28"/>
  <c r="AA89" i="28"/>
  <c r="CD92" i="28"/>
  <c r="CM92" i="28"/>
  <c r="Z92" i="28"/>
  <c r="AB92" i="28"/>
  <c r="AG92" i="28"/>
  <c r="CH92" i="28"/>
  <c r="CI92" i="28"/>
  <c r="W92" i="28"/>
  <c r="Y92" i="28"/>
  <c r="AA92" i="28"/>
  <c r="CD101" i="28"/>
  <c r="Z101" i="28"/>
  <c r="AB101" i="28"/>
  <c r="AG101" i="28"/>
  <c r="CH101" i="28"/>
  <c r="CI101" i="28"/>
  <c r="W101" i="28"/>
  <c r="Y101" i="28"/>
  <c r="AA101" i="28"/>
  <c r="CD114" i="28"/>
  <c r="W114" i="28"/>
  <c r="Y114" i="28"/>
  <c r="AA114" i="28"/>
  <c r="Z114" i="28"/>
  <c r="AB114" i="28"/>
  <c r="AG114" i="28"/>
  <c r="CH114" i="28"/>
  <c r="CI114" i="28"/>
  <c r="CD95" i="28"/>
  <c r="Z95" i="28"/>
  <c r="AB95" i="28"/>
  <c r="AG95" i="28"/>
  <c r="CH95" i="28"/>
  <c r="CI95" i="28"/>
  <c r="W95" i="28"/>
  <c r="Y95" i="28"/>
  <c r="AA95" i="28"/>
  <c r="CD90" i="28"/>
  <c r="Z90" i="28"/>
  <c r="AB90" i="28"/>
  <c r="AG90" i="28"/>
  <c r="CH90" i="28"/>
  <c r="CI90" i="28"/>
  <c r="W90" i="28"/>
  <c r="Y90" i="28"/>
  <c r="AA90" i="28"/>
  <c r="W105" i="28"/>
  <c r="Y105" i="28"/>
  <c r="AA105" i="28"/>
  <c r="Z105" i="28"/>
  <c r="AB105" i="28"/>
  <c r="AG105" i="28"/>
  <c r="CH105" i="28"/>
  <c r="CI105" i="28"/>
  <c r="CD105" i="28"/>
  <c r="CD94" i="28"/>
  <c r="W94" i="28"/>
  <c r="Y94" i="28"/>
  <c r="AA94" i="28"/>
  <c r="Z94" i="28"/>
  <c r="AB94" i="28"/>
  <c r="AG94" i="28"/>
  <c r="CH94" i="28"/>
  <c r="CI94" i="28"/>
  <c r="CD96" i="28"/>
  <c r="W96" i="28"/>
  <c r="Y96" i="28"/>
  <c r="AA96" i="28"/>
  <c r="Z96" i="28"/>
  <c r="AB96" i="28"/>
  <c r="AG96" i="28"/>
  <c r="CH96" i="28"/>
  <c r="CI96" i="28"/>
  <c r="CD93" i="28"/>
  <c r="Z93" i="28"/>
  <c r="AB93" i="28"/>
  <c r="AG93" i="28"/>
  <c r="CH93" i="28"/>
  <c r="CI93" i="28"/>
  <c r="W93" i="28"/>
  <c r="Y93" i="28"/>
  <c r="AA93" i="28"/>
  <c r="CD100" i="28"/>
  <c r="Z100" i="28"/>
  <c r="AB100" i="28"/>
  <c r="AG100" i="28"/>
  <c r="CH100" i="28"/>
  <c r="CI100" i="28"/>
  <c r="W100" i="28"/>
  <c r="Y100" i="28"/>
  <c r="AA100" i="28"/>
  <c r="CD103" i="28"/>
  <c r="Z103" i="28"/>
  <c r="AB103" i="28"/>
  <c r="AG103" i="28"/>
  <c r="CH103" i="28"/>
  <c r="CI103" i="28"/>
  <c r="W103" i="28"/>
  <c r="Y103" i="28"/>
  <c r="AA103" i="28"/>
  <c r="CD97" i="28"/>
  <c r="Z97" i="28"/>
  <c r="AB97" i="28"/>
  <c r="AG97" i="28"/>
  <c r="CH97" i="28"/>
  <c r="CI97" i="28"/>
  <c r="W97" i="28"/>
  <c r="Y97" i="28"/>
  <c r="AA97" i="28"/>
  <c r="CD88" i="28"/>
  <c r="W88" i="28"/>
  <c r="Y88" i="28"/>
  <c r="AA88" i="28"/>
  <c r="Z88" i="28"/>
  <c r="AB88" i="28"/>
  <c r="AG88" i="28"/>
  <c r="CH88" i="28"/>
  <c r="CI88" i="28"/>
  <c r="CD102" i="28"/>
  <c r="Z102" i="28"/>
  <c r="AB102" i="28"/>
  <c r="AG102" i="28"/>
  <c r="CH102" i="28"/>
  <c r="CI102" i="28"/>
  <c r="W102" i="28"/>
  <c r="Y102" i="28"/>
  <c r="AA102" i="28"/>
  <c r="CD87" i="28"/>
  <c r="Z87" i="28"/>
  <c r="AB87" i="28"/>
  <c r="AG87" i="28"/>
  <c r="CH87" i="28"/>
  <c r="CI87" i="28"/>
  <c r="W87" i="28"/>
  <c r="Y87" i="28"/>
  <c r="AA87" i="28"/>
  <c r="CD111" i="28"/>
  <c r="Z111" i="28"/>
  <c r="AB111" i="28"/>
  <c r="AG111" i="28"/>
  <c r="CH111" i="28"/>
  <c r="CI111" i="28"/>
  <c r="W111" i="28"/>
  <c r="Y111" i="28"/>
  <c r="AA111" i="28"/>
  <c r="CD91" i="28"/>
  <c r="W91" i="28"/>
  <c r="Y91" i="28"/>
  <c r="AA91" i="28"/>
  <c r="Z91" i="28"/>
  <c r="AB91" i="28"/>
  <c r="AG91" i="28"/>
  <c r="CH91" i="28"/>
  <c r="CI91" i="28"/>
  <c r="AO93" i="28"/>
  <c r="C63" i="30"/>
  <c r="G63" i="30"/>
  <c r="L63" i="28"/>
  <c r="B63" i="32"/>
  <c r="G63" i="32"/>
  <c r="B40" i="29"/>
  <c r="G40" i="28"/>
  <c r="AU40" i="28"/>
  <c r="AX40" i="28"/>
  <c r="BV40" i="28"/>
  <c r="BS40" i="28"/>
  <c r="B80" i="29"/>
  <c r="G80" i="28"/>
  <c r="B18" i="29"/>
  <c r="BJ18" i="28"/>
  <c r="BG18" i="28"/>
  <c r="EP18" i="28"/>
  <c r="AU18" i="28"/>
  <c r="BV18" i="28"/>
  <c r="EQ18" i="28"/>
  <c r="G18" i="28"/>
  <c r="AX18" i="28"/>
  <c r="BS18" i="28"/>
  <c r="B39" i="29"/>
  <c r="G39" i="28"/>
  <c r="AU39" i="28"/>
  <c r="AX39" i="28"/>
  <c r="BS39" i="28"/>
  <c r="BV39" i="28"/>
  <c r="C33" i="30"/>
  <c r="G33" i="30"/>
  <c r="L33" i="28"/>
  <c r="B33" i="32"/>
  <c r="G33" i="32"/>
  <c r="B24" i="29"/>
  <c r="AX24" i="28"/>
  <c r="G24" i="28"/>
  <c r="AU24" i="28"/>
  <c r="BV24" i="28"/>
  <c r="BS24" i="28"/>
  <c r="B21" i="29"/>
  <c r="BS21" i="28"/>
  <c r="AX21" i="28"/>
  <c r="G21" i="28"/>
  <c r="BV21" i="28"/>
  <c r="AU21" i="28"/>
  <c r="C53" i="30"/>
  <c r="G53" i="30"/>
  <c r="L53" i="28"/>
  <c r="B53" i="32"/>
  <c r="G53" i="32"/>
  <c r="C48" i="30"/>
  <c r="G48" i="30"/>
  <c r="L48" i="28"/>
  <c r="B48" i="32"/>
  <c r="G48" i="32"/>
  <c r="B26" i="29"/>
  <c r="BS26" i="28"/>
  <c r="AU26" i="28"/>
  <c r="AX26" i="28"/>
  <c r="BV26" i="28"/>
  <c r="G26" i="28"/>
  <c r="X26" i="28"/>
  <c r="B83" i="29"/>
  <c r="G83" i="28"/>
  <c r="B19" i="29"/>
  <c r="EP19" i="28"/>
  <c r="AX19" i="28"/>
  <c r="AU19" i="28"/>
  <c r="BS19" i="28"/>
  <c r="BG19" i="28"/>
  <c r="BV19" i="28"/>
  <c r="G19" i="28"/>
  <c r="BJ19" i="28"/>
  <c r="EQ19" i="28"/>
  <c r="B68" i="29"/>
  <c r="G68" i="28"/>
  <c r="B22" i="29"/>
  <c r="BV22" i="28"/>
  <c r="BS22" i="28"/>
  <c r="AX22" i="28"/>
  <c r="AU22" i="28"/>
  <c r="G22" i="28"/>
  <c r="B57" i="29"/>
  <c r="AX57" i="28"/>
  <c r="AU57" i="28"/>
  <c r="G57" i="28"/>
  <c r="C30" i="30"/>
  <c r="G30" i="30"/>
  <c r="L30" i="28"/>
  <c r="B30" i="32"/>
  <c r="G30" i="32"/>
  <c r="C20" i="30"/>
  <c r="G20" i="30"/>
  <c r="L20" i="28"/>
  <c r="B20" i="32"/>
  <c r="G20" i="32"/>
  <c r="B5" i="29"/>
  <c r="EP5" i="28"/>
  <c r="G5" i="28"/>
  <c r="AU5" i="28"/>
  <c r="EQ5" i="28"/>
  <c r="BJ5" i="28"/>
  <c r="AX5" i="28"/>
  <c r="BS5" i="28"/>
  <c r="BG5" i="28"/>
  <c r="BV5" i="28"/>
  <c r="B77" i="29"/>
  <c r="G77" i="28"/>
  <c r="L36" i="28"/>
  <c r="B36" i="32"/>
  <c r="G36" i="32"/>
  <c r="C36" i="30"/>
  <c r="G36" i="30"/>
  <c r="B34" i="29"/>
  <c r="BV34" i="28"/>
  <c r="AX34" i="28"/>
  <c r="BS34" i="28"/>
  <c r="G34" i="28"/>
  <c r="AU34" i="28"/>
  <c r="B58" i="29"/>
  <c r="AX58" i="28"/>
  <c r="AU58" i="28"/>
  <c r="G58" i="28"/>
  <c r="B78" i="29"/>
  <c r="G78" i="28"/>
  <c r="B41" i="29"/>
  <c r="AX41" i="28"/>
  <c r="G41" i="28"/>
  <c r="AU41" i="28"/>
  <c r="C40" i="30"/>
  <c r="G40" i="30"/>
  <c r="L40" i="28"/>
  <c r="B40" i="32"/>
  <c r="G40" i="32"/>
  <c r="B28" i="29"/>
  <c r="AX28" i="28"/>
  <c r="BV28" i="28"/>
  <c r="G28" i="28"/>
  <c r="AU28" i="28"/>
  <c r="BS28" i="28"/>
  <c r="C17" i="30"/>
  <c r="G17" i="30"/>
  <c r="L17" i="28"/>
  <c r="B17" i="32"/>
  <c r="G17" i="32"/>
  <c r="B33" i="29"/>
  <c r="G33" i="28"/>
  <c r="AU33" i="28"/>
  <c r="AX33" i="28"/>
  <c r="BS33" i="28"/>
  <c r="BV33" i="28"/>
  <c r="C24" i="30"/>
  <c r="G24" i="30"/>
  <c r="L24" i="28"/>
  <c r="B24" i="32"/>
  <c r="G24" i="32"/>
  <c r="B53" i="29"/>
  <c r="AU53" i="28"/>
  <c r="G53" i="28"/>
  <c r="AX53" i="28"/>
  <c r="B48" i="29"/>
  <c r="AU48" i="28"/>
  <c r="G48" i="28"/>
  <c r="AX48" i="28"/>
  <c r="C59" i="30"/>
  <c r="G59" i="30"/>
  <c r="L59" i="28"/>
  <c r="B59" i="32"/>
  <c r="G59" i="32"/>
  <c r="C19" i="30"/>
  <c r="G19" i="30"/>
  <c r="L19" i="28"/>
  <c r="B19" i="32"/>
  <c r="G19" i="32"/>
  <c r="L64" i="28"/>
  <c r="B64" i="32"/>
  <c r="G64" i="32"/>
  <c r="C64" i="30"/>
  <c r="G64" i="30"/>
  <c r="C38" i="30"/>
  <c r="G38" i="30"/>
  <c r="L38" i="28"/>
  <c r="B38" i="32"/>
  <c r="G38" i="32"/>
  <c r="C6" i="30"/>
  <c r="G6" i="30"/>
  <c r="L6" i="28"/>
  <c r="B6" i="32"/>
  <c r="G6" i="32"/>
  <c r="B30" i="29"/>
  <c r="G30" i="28"/>
  <c r="AX30" i="28"/>
  <c r="BS30" i="28"/>
  <c r="AU30" i="28"/>
  <c r="BV30" i="28"/>
  <c r="B20" i="29"/>
  <c r="G20" i="28"/>
  <c r="AU20" i="28"/>
  <c r="BV20" i="28"/>
  <c r="BS20" i="28"/>
  <c r="BJ20" i="28"/>
  <c r="EQ20" i="28"/>
  <c r="BG20" i="28"/>
  <c r="AX20" i="28"/>
  <c r="EP20" i="28"/>
  <c r="C75" i="30"/>
  <c r="G75" i="30"/>
  <c r="L75" i="28"/>
  <c r="B75" i="32"/>
  <c r="G75" i="32"/>
  <c r="B55" i="29"/>
  <c r="AX55" i="28"/>
  <c r="G55" i="28"/>
  <c r="AU55" i="28"/>
  <c r="B50" i="29"/>
  <c r="AU50" i="28"/>
  <c r="G50" i="28"/>
  <c r="AX50" i="28"/>
  <c r="L84" i="28"/>
  <c r="B84" i="32"/>
  <c r="G84" i="32"/>
  <c r="C84" i="30"/>
  <c r="G84" i="30"/>
  <c r="B7" i="29"/>
  <c r="BS7" i="28"/>
  <c r="AX7" i="28"/>
  <c r="AU7" i="28"/>
  <c r="BV7" i="28"/>
  <c r="G7" i="28"/>
  <c r="BG7" i="28"/>
  <c r="BJ7" i="28"/>
  <c r="EP7" i="28"/>
  <c r="EQ7" i="28"/>
  <c r="C5" i="30"/>
  <c r="G5" i="30"/>
  <c r="L5" i="28"/>
  <c r="B5" i="32"/>
  <c r="G5" i="32"/>
  <c r="C77" i="30"/>
  <c r="G77" i="30"/>
  <c r="L77" i="28"/>
  <c r="B77" i="32"/>
  <c r="G77" i="32"/>
  <c r="B70" i="29"/>
  <c r="G70" i="28"/>
  <c r="B43" i="29"/>
  <c r="G43" i="28"/>
  <c r="AX43" i="28"/>
  <c r="AU43" i="28"/>
  <c r="C66" i="30"/>
  <c r="G66" i="30"/>
  <c r="L66" i="28"/>
  <c r="B66" i="32"/>
  <c r="G66" i="32"/>
  <c r="C71" i="30"/>
  <c r="G71" i="30"/>
  <c r="L71" i="28"/>
  <c r="B71" i="32"/>
  <c r="G71" i="32"/>
  <c r="B63" i="29"/>
  <c r="G63" i="28"/>
  <c r="L80" i="28"/>
  <c r="B80" i="32"/>
  <c r="G80" i="32"/>
  <c r="C80" i="30"/>
  <c r="G80" i="30"/>
  <c r="C28" i="30"/>
  <c r="G28" i="30"/>
  <c r="L28" i="28"/>
  <c r="B28" i="32"/>
  <c r="G28" i="32"/>
  <c r="C18" i="30"/>
  <c r="G18" i="30"/>
  <c r="L18" i="28"/>
  <c r="B18" i="32"/>
  <c r="G18" i="32"/>
  <c r="C39" i="30"/>
  <c r="G39" i="30"/>
  <c r="L39" i="28"/>
  <c r="B39" i="32"/>
  <c r="G39" i="32"/>
  <c r="B17" i="29"/>
  <c r="AU17" i="28"/>
  <c r="BV17" i="28"/>
  <c r="EP17" i="28"/>
  <c r="G17" i="28"/>
  <c r="BG17" i="28"/>
  <c r="EQ17" i="28"/>
  <c r="AX17" i="28"/>
  <c r="BS17" i="28"/>
  <c r="BJ17" i="28"/>
  <c r="C21" i="30"/>
  <c r="G21" i="30"/>
  <c r="L21" i="28"/>
  <c r="B21" i="32"/>
  <c r="G21" i="32"/>
  <c r="B59" i="29"/>
  <c r="G59" i="28"/>
  <c r="L26" i="28"/>
  <c r="B26" i="32"/>
  <c r="G26" i="32"/>
  <c r="C26" i="30"/>
  <c r="G26" i="30"/>
  <c r="L83" i="28"/>
  <c r="B83" i="32"/>
  <c r="G83" i="32"/>
  <c r="C83" i="30"/>
  <c r="G83" i="30"/>
  <c r="L68" i="28"/>
  <c r="B68" i="32"/>
  <c r="G68" i="32"/>
  <c r="C68" i="30"/>
  <c r="G68" i="30"/>
  <c r="B38" i="29"/>
  <c r="BV38" i="28"/>
  <c r="BS38" i="28"/>
  <c r="BU38" i="28"/>
  <c r="G38" i="28"/>
  <c r="AU38" i="28"/>
  <c r="X38" i="28"/>
  <c r="AX38" i="28"/>
  <c r="C22" i="30"/>
  <c r="G22" i="30"/>
  <c r="L22" i="28"/>
  <c r="B22" i="32"/>
  <c r="G22" i="32"/>
  <c r="C57" i="30"/>
  <c r="G57" i="30"/>
  <c r="L57" i="28"/>
  <c r="B57" i="32"/>
  <c r="G57" i="32"/>
  <c r="B6" i="29"/>
  <c r="AU6" i="28"/>
  <c r="AW6" i="28"/>
  <c r="BG6" i="28"/>
  <c r="EP6" i="28"/>
  <c r="EQ6" i="28"/>
  <c r="G6" i="28"/>
  <c r="BV6" i="28"/>
  <c r="BJ6" i="28"/>
  <c r="BS6" i="28"/>
  <c r="X6" i="28"/>
  <c r="C55" i="30"/>
  <c r="G55" i="30"/>
  <c r="L55" i="28"/>
  <c r="B55" i="32"/>
  <c r="G55" i="32"/>
  <c r="C50" i="30"/>
  <c r="G50" i="30"/>
  <c r="L50" i="28"/>
  <c r="B50" i="32"/>
  <c r="G50" i="32"/>
  <c r="B84" i="29"/>
  <c r="G84" i="28"/>
  <c r="C7" i="30"/>
  <c r="G7" i="30"/>
  <c r="L7" i="28"/>
  <c r="B7" i="32"/>
  <c r="G7" i="32"/>
  <c r="C70" i="30"/>
  <c r="G70" i="30"/>
  <c r="L70" i="28"/>
  <c r="B70" i="32"/>
  <c r="G70" i="32"/>
  <c r="C34" i="30"/>
  <c r="G34" i="30"/>
  <c r="L34" i="28"/>
  <c r="B34" i="32"/>
  <c r="G34" i="32"/>
  <c r="L58" i="28"/>
  <c r="B58" i="32"/>
  <c r="G58" i="32"/>
  <c r="C58" i="30"/>
  <c r="G58" i="30"/>
  <c r="B66" i="29"/>
  <c r="X66" i="28"/>
  <c r="G66" i="28"/>
  <c r="C78" i="30"/>
  <c r="G78" i="30"/>
  <c r="L78" i="28"/>
  <c r="B78" i="32"/>
  <c r="G78" i="32"/>
  <c r="C41" i="30"/>
  <c r="G41" i="30"/>
  <c r="L41" i="28"/>
  <c r="B41" i="32"/>
  <c r="G41" i="32"/>
  <c r="B71" i="29"/>
  <c r="G71" i="28"/>
  <c r="B64" i="29"/>
  <c r="X64" i="28"/>
  <c r="G64" i="28"/>
  <c r="B75" i="29"/>
  <c r="G75" i="28"/>
  <c r="L43" i="28"/>
  <c r="B43" i="32"/>
  <c r="G43" i="32"/>
  <c r="C43" i="30"/>
  <c r="G43" i="30"/>
  <c r="B36" i="29"/>
  <c r="AU36" i="28"/>
  <c r="BV36" i="28"/>
  <c r="G36" i="28"/>
  <c r="AX36" i="28"/>
  <c r="BS36" i="28"/>
  <c r="B37" i="29"/>
  <c r="BS37" i="28"/>
  <c r="X37" i="28"/>
  <c r="BV37" i="28"/>
  <c r="AU37" i="28"/>
  <c r="AX37" i="28"/>
  <c r="G37" i="28"/>
  <c r="B45" i="29"/>
  <c r="G45" i="28"/>
  <c r="AU45" i="28"/>
  <c r="AX45" i="28"/>
  <c r="C72" i="30"/>
  <c r="G72" i="30"/>
  <c r="L72" i="28"/>
  <c r="B72" i="32"/>
  <c r="G72" i="32"/>
  <c r="B51" i="29"/>
  <c r="AU51" i="28"/>
  <c r="G51" i="28"/>
  <c r="AX51" i="28"/>
  <c r="C44" i="30"/>
  <c r="G44" i="30"/>
  <c r="L44" i="28"/>
  <c r="B44" i="32"/>
  <c r="G44" i="32"/>
  <c r="C23" i="30"/>
  <c r="G23" i="30"/>
  <c r="L23" i="28"/>
  <c r="B23" i="32"/>
  <c r="G23" i="32"/>
  <c r="C49" i="30"/>
  <c r="G49" i="30"/>
  <c r="L49" i="28"/>
  <c r="B49" i="32"/>
  <c r="G49" i="32"/>
  <c r="B82" i="29"/>
  <c r="G82" i="28"/>
  <c r="B52" i="29"/>
  <c r="G52" i="28"/>
  <c r="AX52" i="28"/>
  <c r="AU52" i="28"/>
  <c r="C9" i="30"/>
  <c r="G9" i="30"/>
  <c r="L9" i="28"/>
  <c r="B9" i="32"/>
  <c r="G9" i="32"/>
  <c r="B46" i="29"/>
  <c r="AU46" i="28"/>
  <c r="AX46" i="28"/>
  <c r="G46" i="28"/>
  <c r="C60" i="30"/>
  <c r="G60" i="30"/>
  <c r="L60" i="28"/>
  <c r="B60" i="32"/>
  <c r="G60" i="32"/>
  <c r="C27" i="30"/>
  <c r="G27" i="30"/>
  <c r="L27" i="28"/>
  <c r="B27" i="32"/>
  <c r="G27" i="32"/>
  <c r="B76" i="29"/>
  <c r="G76" i="28"/>
  <c r="B69" i="29"/>
  <c r="G69" i="28"/>
  <c r="L54" i="28"/>
  <c r="B54" i="32"/>
  <c r="G54" i="32"/>
  <c r="C54" i="30"/>
  <c r="G54" i="30"/>
  <c r="L65" i="28"/>
  <c r="B65" i="32"/>
  <c r="G65" i="32"/>
  <c r="C65" i="30"/>
  <c r="G65" i="30"/>
  <c r="B16" i="29"/>
  <c r="BV16" i="28"/>
  <c r="BJ16" i="28"/>
  <c r="AX16" i="28"/>
  <c r="BS16" i="28"/>
  <c r="EP16" i="28"/>
  <c r="BG16" i="28"/>
  <c r="G16" i="28"/>
  <c r="AU16" i="28"/>
  <c r="EQ16" i="28"/>
  <c r="B14" i="29"/>
  <c r="BV14" i="28"/>
  <c r="EP14" i="28"/>
  <c r="BJ14" i="28"/>
  <c r="G14" i="28"/>
  <c r="AU14" i="28"/>
  <c r="AX14" i="28"/>
  <c r="BS14" i="28"/>
  <c r="EQ14" i="28"/>
  <c r="BG14" i="28"/>
  <c r="B35" i="29"/>
  <c r="G35" i="28"/>
  <c r="BS35" i="28"/>
  <c r="AU35" i="28"/>
  <c r="BV35" i="28"/>
  <c r="AX35" i="28"/>
  <c r="B13" i="29"/>
  <c r="BV13" i="28"/>
  <c r="G13" i="28"/>
  <c r="AX13" i="28"/>
  <c r="EQ13" i="28"/>
  <c r="BJ13" i="28"/>
  <c r="EP13" i="28"/>
  <c r="BS13" i="28"/>
  <c r="BG13" i="28"/>
  <c r="AU13" i="28"/>
  <c r="X13" i="28"/>
  <c r="C45" i="30"/>
  <c r="G45" i="30"/>
  <c r="L45" i="28"/>
  <c r="B45" i="32"/>
  <c r="G45" i="32"/>
  <c r="C10" i="30"/>
  <c r="G10" i="30"/>
  <c r="L10" i="28"/>
  <c r="B10" i="32"/>
  <c r="G10" i="32"/>
  <c r="B11" i="29"/>
  <c r="BG11" i="28"/>
  <c r="AU11" i="28"/>
  <c r="AW11" i="28"/>
  <c r="EQ11" i="28"/>
  <c r="BJ11" i="28"/>
  <c r="BV11" i="28"/>
  <c r="BS11" i="28"/>
  <c r="BU11" i="28"/>
  <c r="G11" i="28"/>
  <c r="AX11" i="28"/>
  <c r="EP11" i="28"/>
  <c r="B4" i="29"/>
  <c r="BJ4" i="28"/>
  <c r="BS4" i="28"/>
  <c r="BG4" i="28"/>
  <c r="BI4" i="28"/>
  <c r="EQ4" i="28"/>
  <c r="BV4" i="28"/>
  <c r="G4" i="28"/>
  <c r="CD4" i="28"/>
  <c r="B23" i="29"/>
  <c r="BV23" i="28"/>
  <c r="BS23" i="28"/>
  <c r="G23" i="28"/>
  <c r="AX23" i="28"/>
  <c r="AU23" i="28"/>
  <c r="B49" i="29"/>
  <c r="AU49" i="28"/>
  <c r="G49" i="28"/>
  <c r="AX49" i="28"/>
  <c r="C73" i="30"/>
  <c r="G73" i="30"/>
  <c r="L73" i="28"/>
  <c r="B73" i="32"/>
  <c r="G73" i="32"/>
  <c r="L25" i="28"/>
  <c r="B25" i="32"/>
  <c r="G25" i="32"/>
  <c r="C25" i="30"/>
  <c r="G25" i="30"/>
  <c r="C67" i="30"/>
  <c r="G67" i="30"/>
  <c r="L67" i="28"/>
  <c r="B67" i="32"/>
  <c r="G67" i="32"/>
  <c r="C47" i="30"/>
  <c r="G47" i="30"/>
  <c r="L47" i="28"/>
  <c r="B47" i="32"/>
  <c r="G47" i="32"/>
  <c r="B42" i="29"/>
  <c r="AX42" i="28"/>
  <c r="AU42" i="28"/>
  <c r="G42" i="28"/>
  <c r="B74" i="29"/>
  <c r="G74" i="28"/>
  <c r="B9" i="29"/>
  <c r="G9" i="28"/>
  <c r="BS9" i="28"/>
  <c r="AX9" i="28"/>
  <c r="BG9" i="28"/>
  <c r="EQ9" i="28"/>
  <c r="BJ9" i="28"/>
  <c r="EP9" i="28"/>
  <c r="BV9" i="28"/>
  <c r="AU9" i="28"/>
  <c r="C31" i="30"/>
  <c r="G31" i="30"/>
  <c r="L31" i="28"/>
  <c r="B31" i="32"/>
  <c r="G31" i="32"/>
  <c r="B29" i="29"/>
  <c r="AX29" i="28"/>
  <c r="BV29" i="28"/>
  <c r="AU29" i="28"/>
  <c r="BS29" i="28"/>
  <c r="G29" i="28"/>
  <c r="B61" i="29"/>
  <c r="G61" i="28"/>
  <c r="B56" i="29"/>
  <c r="G56" i="28"/>
  <c r="AU56" i="28"/>
  <c r="AX56" i="28"/>
  <c r="B85" i="29"/>
  <c r="G85" i="28"/>
  <c r="BS27" i="28"/>
  <c r="G27" i="28"/>
  <c r="AX27" i="28"/>
  <c r="BV27" i="28"/>
  <c r="B27" i="29"/>
  <c r="AU27" i="28"/>
  <c r="L76" i="28"/>
  <c r="B76" i="32"/>
  <c r="G76" i="32"/>
  <c r="C76" i="30"/>
  <c r="G76" i="30"/>
  <c r="B54" i="29"/>
  <c r="AU54" i="28"/>
  <c r="G54" i="28"/>
  <c r="AX54" i="28"/>
  <c r="B65" i="29"/>
  <c r="G65" i="28"/>
  <c r="L32" i="28"/>
  <c r="B32" i="32"/>
  <c r="G32" i="32"/>
  <c r="C32" i="30"/>
  <c r="G32" i="30"/>
  <c r="B86" i="29"/>
  <c r="G86" i="28"/>
  <c r="C12" i="30"/>
  <c r="G12" i="30"/>
  <c r="L12" i="28"/>
  <c r="B12" i="32"/>
  <c r="G12" i="32"/>
  <c r="B62" i="29"/>
  <c r="G62" i="28"/>
  <c r="C15" i="30"/>
  <c r="G15" i="30"/>
  <c r="L15" i="28"/>
  <c r="B15" i="32"/>
  <c r="G15" i="32"/>
  <c r="C13" i="30"/>
  <c r="G13" i="30"/>
  <c r="L13" i="28"/>
  <c r="B13" i="32"/>
  <c r="G13" i="32"/>
  <c r="C81" i="30"/>
  <c r="G81" i="30"/>
  <c r="L81" i="28"/>
  <c r="B81" i="32"/>
  <c r="G81" i="32"/>
  <c r="L37" i="28"/>
  <c r="B37" i="32"/>
  <c r="G37" i="32"/>
  <c r="C37" i="30"/>
  <c r="G37" i="30"/>
  <c r="B72" i="29"/>
  <c r="G72" i="28"/>
  <c r="C51" i="30"/>
  <c r="G51" i="30"/>
  <c r="L51" i="28"/>
  <c r="B51" i="32"/>
  <c r="G51" i="32"/>
  <c r="B10" i="29"/>
  <c r="BG10" i="28"/>
  <c r="BI10" i="28"/>
  <c r="AU10" i="28"/>
  <c r="AW10" i="28"/>
  <c r="BS10" i="28"/>
  <c r="G10" i="28"/>
  <c r="EQ10" i="28"/>
  <c r="BJ10" i="28"/>
  <c r="EP10" i="28"/>
  <c r="BV10" i="28"/>
  <c r="AX10" i="28"/>
  <c r="B44" i="29"/>
  <c r="G44" i="28"/>
  <c r="AU44" i="28"/>
  <c r="AX44" i="28"/>
  <c r="B73" i="29"/>
  <c r="G73" i="28"/>
  <c r="C82" i="30"/>
  <c r="G82" i="30"/>
  <c r="L82" i="28"/>
  <c r="B82" i="32"/>
  <c r="G82" i="32"/>
  <c r="B67" i="29"/>
  <c r="G67" i="28"/>
  <c r="L52" i="28"/>
  <c r="B52" i="32"/>
  <c r="G52" i="32"/>
  <c r="C52" i="30"/>
  <c r="G52" i="30"/>
  <c r="B47" i="29"/>
  <c r="G47" i="28"/>
  <c r="AX47" i="28"/>
  <c r="AU47" i="28"/>
  <c r="C42" i="30"/>
  <c r="G42" i="30"/>
  <c r="L42" i="28"/>
  <c r="B42" i="32"/>
  <c r="G42" i="32"/>
  <c r="L74" i="28"/>
  <c r="B74" i="32"/>
  <c r="G74" i="32"/>
  <c r="C74" i="30"/>
  <c r="G74" i="30"/>
  <c r="C46" i="30"/>
  <c r="G46" i="30"/>
  <c r="L46" i="28"/>
  <c r="B46" i="32"/>
  <c r="G46" i="32"/>
  <c r="C29" i="30"/>
  <c r="G29" i="30"/>
  <c r="L29" i="28"/>
  <c r="B29" i="32"/>
  <c r="G29" i="32"/>
  <c r="C61" i="30"/>
  <c r="G61" i="30"/>
  <c r="L61" i="28"/>
  <c r="B61" i="32"/>
  <c r="G61" i="32"/>
  <c r="L56" i="28"/>
  <c r="B56" i="32"/>
  <c r="G56" i="32"/>
  <c r="C56" i="30"/>
  <c r="G56" i="30"/>
  <c r="B60" i="29"/>
  <c r="G60" i="28"/>
  <c r="C85" i="30"/>
  <c r="G85" i="30"/>
  <c r="L85" i="28"/>
  <c r="B85" i="32"/>
  <c r="G85" i="32"/>
  <c r="C69" i="30"/>
  <c r="G69" i="30"/>
  <c r="L69" i="28"/>
  <c r="B69" i="32"/>
  <c r="G69" i="32"/>
  <c r="C86" i="30"/>
  <c r="G86" i="30"/>
  <c r="L86" i="28"/>
  <c r="B86" i="32"/>
  <c r="G86" i="32"/>
  <c r="B12" i="29"/>
  <c r="G12" i="28"/>
  <c r="AU12" i="28"/>
  <c r="AW12" i="28"/>
  <c r="EP12" i="28"/>
  <c r="EQ12" i="28"/>
  <c r="BS12" i="28"/>
  <c r="BV12" i="28"/>
  <c r="AX12" i="28"/>
  <c r="BJ12" i="28"/>
  <c r="BG12" i="28"/>
  <c r="C62" i="30"/>
  <c r="G62" i="30"/>
  <c r="L62" i="28"/>
  <c r="B62" i="32"/>
  <c r="G62" i="32"/>
  <c r="C16" i="30"/>
  <c r="G16" i="30"/>
  <c r="L16" i="28"/>
  <c r="B16" i="32"/>
  <c r="G16" i="32"/>
  <c r="C14" i="30"/>
  <c r="G14" i="30"/>
  <c r="L14" i="28"/>
  <c r="B14" i="32"/>
  <c r="G14" i="32"/>
  <c r="C35" i="30"/>
  <c r="G35" i="30"/>
  <c r="L35" i="28"/>
  <c r="B35" i="32"/>
  <c r="G35" i="32"/>
  <c r="B15" i="29"/>
  <c r="EP15" i="28"/>
  <c r="G15" i="28"/>
  <c r="AX15" i="28"/>
  <c r="BV15" i="28"/>
  <c r="AU15" i="28"/>
  <c r="BG15" i="28"/>
  <c r="BJ15" i="28"/>
  <c r="BS15" i="28"/>
  <c r="EQ15" i="28"/>
  <c r="B81" i="29"/>
  <c r="G81" i="28"/>
  <c r="C11" i="30"/>
  <c r="G11" i="30"/>
  <c r="L11" i="28"/>
  <c r="B11" i="32"/>
  <c r="G11" i="32"/>
  <c r="C4" i="30"/>
  <c r="G4" i="30"/>
  <c r="L4" i="28"/>
  <c r="B4" i="32"/>
  <c r="G4" i="32"/>
  <c r="B25" i="29"/>
  <c r="BS25" i="28"/>
  <c r="BV25" i="28"/>
  <c r="AX25" i="28"/>
  <c r="G25" i="28"/>
  <c r="AU25" i="28"/>
  <c r="B31" i="29"/>
  <c r="BS31" i="28"/>
  <c r="AX31" i="28"/>
  <c r="G31" i="28"/>
  <c r="BV31" i="28"/>
  <c r="AU31" i="28"/>
  <c r="B32" i="29"/>
  <c r="BV32" i="28"/>
  <c r="G32" i="28"/>
  <c r="AU32" i="28"/>
  <c r="AX32" i="28"/>
  <c r="BS32" i="28"/>
  <c r="CW89" i="28"/>
  <c r="CW97" i="28"/>
  <c r="CW96" i="28"/>
  <c r="CW106" i="28"/>
  <c r="CW88" i="28"/>
  <c r="CW112" i="28"/>
  <c r="CW93" i="28"/>
  <c r="CW105" i="28"/>
  <c r="CW111" i="28"/>
  <c r="CW92" i="28"/>
  <c r="CW99" i="28"/>
  <c r="CW108" i="28"/>
  <c r="CW91" i="28"/>
  <c r="CW104" i="28"/>
  <c r="CW107" i="28"/>
  <c r="CW95" i="28"/>
  <c r="CW94" i="28"/>
  <c r="CW109" i="28"/>
  <c r="CW98" i="28"/>
  <c r="CW110" i="28"/>
  <c r="CW87" i="28"/>
  <c r="CW100" i="28"/>
  <c r="CW90" i="28"/>
  <c r="CW102" i="28"/>
  <c r="CW103" i="28"/>
  <c r="CW113" i="28"/>
  <c r="CK112" i="28"/>
  <c r="CK110" i="28"/>
  <c r="AO113" i="28"/>
  <c r="B79" i="29"/>
  <c r="G79" i="28"/>
  <c r="C79" i="30"/>
  <c r="G79" i="30"/>
  <c r="L79" i="28"/>
  <c r="B79" i="32"/>
  <c r="G79" i="32"/>
  <c r="C8" i="30"/>
  <c r="G8" i="30"/>
  <c r="L8" i="28"/>
  <c r="B8" i="32"/>
  <c r="G8" i="32"/>
  <c r="B8" i="29"/>
  <c r="X8" i="28"/>
  <c r="BS8" i="28"/>
  <c r="BU8" i="28"/>
  <c r="AU8" i="28"/>
  <c r="G8" i="28"/>
  <c r="BG8" i="28"/>
  <c r="EQ8" i="28"/>
  <c r="EP8" i="28"/>
  <c r="AO112" i="28"/>
  <c r="AP112" i="28"/>
  <c r="E21" i="29"/>
  <c r="I21" i="29"/>
  <c r="AO110" i="28"/>
  <c r="AO94" i="28"/>
  <c r="F41" i="29"/>
  <c r="J41" i="29"/>
  <c r="AO88" i="28"/>
  <c r="AO99" i="28"/>
  <c r="AP99" i="28"/>
  <c r="D59" i="29"/>
  <c r="H59" i="29"/>
  <c r="AO87" i="28"/>
  <c r="AO91" i="28"/>
  <c r="AP91" i="28"/>
  <c r="AO108" i="28"/>
  <c r="AO104" i="28"/>
  <c r="AP104" i="28"/>
  <c r="AO92" i="28"/>
  <c r="AC112" i="28"/>
  <c r="AD112" i="28"/>
  <c r="AO90" i="28"/>
  <c r="AO97" i="28"/>
  <c r="AO102" i="28"/>
  <c r="AP102" i="28"/>
  <c r="AO103" i="28"/>
  <c r="AP103" i="28"/>
  <c r="ER21" i="28"/>
  <c r="ET21" i="28"/>
  <c r="AO95" i="28"/>
  <c r="AP95" i="28"/>
  <c r="AO111" i="28"/>
  <c r="AP111" i="28"/>
  <c r="AW59" i="28"/>
  <c r="AT61" i="28"/>
  <c r="AV61" i="28"/>
  <c r="AX60" i="28"/>
  <c r="AU60" i="28"/>
  <c r="AO100" i="28"/>
  <c r="AP100" i="28"/>
  <c r="AO96" i="28"/>
  <c r="AP96" i="28"/>
  <c r="AO107" i="28"/>
  <c r="AP107" i="28"/>
  <c r="AO105" i="28"/>
  <c r="AP105" i="28"/>
  <c r="DB24" i="28"/>
  <c r="BR43" i="28"/>
  <c r="BT43" i="28"/>
  <c r="BV42" i="28"/>
  <c r="BS42" i="28"/>
  <c r="BF23" i="28"/>
  <c r="BH23" i="28"/>
  <c r="BG22" i="28"/>
  <c r="BJ22" i="28"/>
  <c r="EL23" i="28"/>
  <c r="EQ22" i="28"/>
  <c r="EP22" i="28"/>
  <c r="BI21" i="28"/>
  <c r="AO101" i="28"/>
  <c r="AP101" i="28"/>
  <c r="AO106" i="28"/>
  <c r="AP106" i="28"/>
  <c r="AO98" i="28"/>
  <c r="AP98" i="28"/>
  <c r="BU41" i="28"/>
  <c r="DZ10" i="28"/>
  <c r="DN10" i="28"/>
  <c r="CW101" i="28"/>
  <c r="AQ114" i="28"/>
  <c r="AR114" i="28"/>
  <c r="CR114" i="28"/>
  <c r="AP108" i="28"/>
  <c r="AQ108" i="28"/>
  <c r="AP90" i="28"/>
  <c r="AR90" i="28"/>
  <c r="CR90" i="28"/>
  <c r="CS90" i="28"/>
  <c r="CV90" i="28"/>
  <c r="CX90" i="28"/>
  <c r="AP87" i="28"/>
  <c r="AR87" i="28"/>
  <c r="CR87" i="28"/>
  <c r="CS87" i="28"/>
  <c r="CV87" i="28"/>
  <c r="CX87" i="28"/>
  <c r="AP94" i="28"/>
  <c r="AR94" i="28"/>
  <c r="CR94" i="28"/>
  <c r="CS94" i="28"/>
  <c r="CV94" i="28"/>
  <c r="CX94" i="28"/>
  <c r="AP113" i="28"/>
  <c r="AR113" i="28"/>
  <c r="CR113" i="28"/>
  <c r="CS113" i="28"/>
  <c r="CV113" i="28"/>
  <c r="CX113" i="28"/>
  <c r="AP92" i="28"/>
  <c r="AR92" i="28"/>
  <c r="CR92" i="28"/>
  <c r="CS92" i="28"/>
  <c r="CV92" i="28"/>
  <c r="CX92" i="28"/>
  <c r="AP110" i="28"/>
  <c r="AR110" i="28"/>
  <c r="CR110" i="28"/>
  <c r="CS110" i="28"/>
  <c r="CV110" i="28"/>
  <c r="CX110" i="28"/>
  <c r="AP89" i="28"/>
  <c r="AR89" i="28"/>
  <c r="CR89" i="28"/>
  <c r="CS89" i="28"/>
  <c r="CV89" i="28"/>
  <c r="CX89" i="28"/>
  <c r="AP97" i="28"/>
  <c r="AQ97" i="28"/>
  <c r="AD110" i="28"/>
  <c r="AF110" i="28"/>
  <c r="CF110" i="28"/>
  <c r="CG110" i="28"/>
  <c r="CJ110" i="28"/>
  <c r="CL110" i="28"/>
  <c r="AP88" i="28"/>
  <c r="AR88" i="28"/>
  <c r="CR88" i="28"/>
  <c r="CS88" i="28"/>
  <c r="CV88" i="28"/>
  <c r="CX88" i="28"/>
  <c r="AP93" i="28"/>
  <c r="AQ93" i="28"/>
  <c r="ER19" i="28"/>
  <c r="ET19" i="28"/>
  <c r="AC104" i="28"/>
  <c r="K19" i="11"/>
  <c r="L19" i="11"/>
  <c r="AC107" i="28"/>
  <c r="CM107" i="28"/>
  <c r="CK107" i="28"/>
  <c r="CK104" i="28"/>
  <c r="K29" i="11"/>
  <c r="K129" i="11"/>
  <c r="K184" i="11"/>
  <c r="K149" i="11"/>
  <c r="K188" i="11"/>
  <c r="K171" i="11"/>
  <c r="K24" i="11"/>
  <c r="K40" i="11"/>
  <c r="K48" i="11"/>
  <c r="K146" i="11"/>
  <c r="K162" i="11"/>
  <c r="K55" i="11"/>
  <c r="K27" i="11"/>
  <c r="K43" i="11"/>
  <c r="K26" i="11"/>
  <c r="K42" i="11"/>
  <c r="K132" i="11"/>
  <c r="K148" i="11"/>
  <c r="K45" i="11"/>
  <c r="K112" i="11"/>
  <c r="K202" i="11"/>
  <c r="K218" i="11"/>
  <c r="K201" i="11"/>
  <c r="K217" i="11"/>
  <c r="K70" i="11"/>
  <c r="K86" i="11"/>
  <c r="K114" i="11"/>
  <c r="K130" i="11"/>
  <c r="K196" i="11"/>
  <c r="K204" i="11"/>
  <c r="K203" i="11"/>
  <c r="K219" i="11"/>
  <c r="K67" i="11"/>
  <c r="K83" i="11"/>
  <c r="K56" i="11"/>
  <c r="K72" i="11"/>
  <c r="K88" i="11"/>
  <c r="K104" i="11"/>
  <c r="N204" i="11"/>
  <c r="K53" i="11"/>
  <c r="K103" i="11"/>
  <c r="K147" i="11"/>
  <c r="K163" i="11"/>
  <c r="K190" i="11"/>
  <c r="K169" i="11"/>
  <c r="K185" i="11"/>
  <c r="K20" i="11"/>
  <c r="N24" i="11"/>
  <c r="K31" i="11"/>
  <c r="K47" i="11"/>
  <c r="K28" i="11"/>
  <c r="K44" i="11"/>
  <c r="K52" i="11"/>
  <c r="K71" i="11"/>
  <c r="K58" i="11"/>
  <c r="K74" i="11"/>
  <c r="K91" i="11"/>
  <c r="K107" i="11"/>
  <c r="K90" i="11"/>
  <c r="K106" i="11"/>
  <c r="K116" i="11"/>
  <c r="N132" i="11"/>
  <c r="K170" i="11"/>
  <c r="K134" i="11"/>
  <c r="K150" i="11"/>
  <c r="K151" i="11"/>
  <c r="N169" i="11"/>
  <c r="N185" i="11"/>
  <c r="K189" i="11"/>
  <c r="K173" i="11"/>
  <c r="K206" i="11"/>
  <c r="K205" i="11"/>
  <c r="K50" i="11"/>
  <c r="K85" i="11"/>
  <c r="N72" i="11"/>
  <c r="N190" i="11"/>
  <c r="N26" i="11"/>
  <c r="N40" i="11"/>
  <c r="N56" i="11"/>
  <c r="K33" i="11"/>
  <c r="K30" i="11"/>
  <c r="K46" i="11"/>
  <c r="K54" i="11"/>
  <c r="K57" i="11"/>
  <c r="K73" i="11"/>
  <c r="K60" i="11"/>
  <c r="K76" i="11"/>
  <c r="K93" i="11"/>
  <c r="K109" i="11"/>
  <c r="K92" i="11"/>
  <c r="N91" i="11"/>
  <c r="N107" i="11"/>
  <c r="K118" i="11"/>
  <c r="K135" i="11"/>
  <c r="K174" i="11"/>
  <c r="K136" i="11"/>
  <c r="K152" i="11"/>
  <c r="K164" i="11"/>
  <c r="K153" i="11"/>
  <c r="N171" i="11"/>
  <c r="K187" i="11"/>
  <c r="K194" i="11"/>
  <c r="K175" i="11"/>
  <c r="N174" i="11"/>
  <c r="K192" i="11"/>
  <c r="K208" i="11"/>
  <c r="K207" i="11"/>
  <c r="N194" i="11"/>
  <c r="K69" i="11"/>
  <c r="K166" i="11"/>
  <c r="N44" i="11"/>
  <c r="N42" i="11"/>
  <c r="K35" i="11"/>
  <c r="K32" i="11"/>
  <c r="K59" i="11"/>
  <c r="K75" i="11"/>
  <c r="K62" i="11"/>
  <c r="K78" i="11"/>
  <c r="N67" i="11"/>
  <c r="N83" i="11"/>
  <c r="K95" i="11"/>
  <c r="K113" i="11"/>
  <c r="K94" i="11"/>
  <c r="N93" i="11"/>
  <c r="N109" i="11"/>
  <c r="N114" i="11"/>
  <c r="N130" i="11"/>
  <c r="N148" i="11"/>
  <c r="K120" i="11"/>
  <c r="K178" i="11"/>
  <c r="K138" i="11"/>
  <c r="K154" i="11"/>
  <c r="K168" i="11"/>
  <c r="K139" i="11"/>
  <c r="K155" i="11"/>
  <c r="N173" i="11"/>
  <c r="K191" i="11"/>
  <c r="K177" i="11"/>
  <c r="K210" i="11"/>
  <c r="K193" i="11"/>
  <c r="K209" i="11"/>
  <c r="N196" i="11"/>
  <c r="K87" i="11"/>
  <c r="K102" i="11"/>
  <c r="K105" i="11"/>
  <c r="N20" i="11"/>
  <c r="K51" i="11"/>
  <c r="K49" i="11"/>
  <c r="K21" i="11"/>
  <c r="K37" i="11"/>
  <c r="K34" i="11"/>
  <c r="N27" i="11"/>
  <c r="N43" i="11"/>
  <c r="N51" i="11"/>
  <c r="K61" i="11"/>
  <c r="K77" i="11"/>
  <c r="K64" i="11"/>
  <c r="K80" i="11"/>
  <c r="N69" i="11"/>
  <c r="N85" i="11"/>
  <c r="K97" i="11"/>
  <c r="K117" i="11"/>
  <c r="N146" i="11"/>
  <c r="K123" i="11"/>
  <c r="K96" i="11"/>
  <c r="N95" i="11"/>
  <c r="K111" i="11"/>
  <c r="N118" i="11"/>
  <c r="K133" i="11"/>
  <c r="N152" i="11"/>
  <c r="K122" i="11"/>
  <c r="N150" i="11"/>
  <c r="K131" i="11"/>
  <c r="K182" i="11"/>
  <c r="K140" i="11"/>
  <c r="K156" i="11"/>
  <c r="K172" i="11"/>
  <c r="K141" i="11"/>
  <c r="K157" i="11"/>
  <c r="N188" i="11"/>
  <c r="N203" i="11"/>
  <c r="K179" i="11"/>
  <c r="N219" i="11"/>
  <c r="N178" i="11"/>
  <c r="N201" i="11"/>
  <c r="K212" i="11"/>
  <c r="K195" i="11"/>
  <c r="K211" i="11"/>
  <c r="K128" i="11"/>
  <c r="N184" i="11"/>
  <c r="K22" i="11"/>
  <c r="N28" i="11"/>
  <c r="K23" i="11"/>
  <c r="K39" i="11"/>
  <c r="K36" i="11"/>
  <c r="N29" i="11"/>
  <c r="N45" i="11"/>
  <c r="N53" i="11"/>
  <c r="K63" i="11"/>
  <c r="K79" i="11"/>
  <c r="K66" i="11"/>
  <c r="K82" i="11"/>
  <c r="N71" i="11"/>
  <c r="K99" i="11"/>
  <c r="K121" i="11"/>
  <c r="K98" i="11"/>
  <c r="N97" i="11"/>
  <c r="K115" i="11"/>
  <c r="K137" i="11"/>
  <c r="K108" i="11"/>
  <c r="K124" i="11"/>
  <c r="N111" i="11"/>
  <c r="K186" i="11"/>
  <c r="K142" i="11"/>
  <c r="K158" i="11"/>
  <c r="N147" i="11"/>
  <c r="K176" i="11"/>
  <c r="K143" i="11"/>
  <c r="K159" i="11"/>
  <c r="K165" i="11"/>
  <c r="K181" i="11"/>
  <c r="N164" i="11"/>
  <c r="N217" i="11"/>
  <c r="K198" i="11"/>
  <c r="K214" i="11"/>
  <c r="K197" i="11"/>
  <c r="K213" i="11"/>
  <c r="K89" i="11"/>
  <c r="N112" i="11"/>
  <c r="N103" i="11"/>
  <c r="N30" i="11"/>
  <c r="N22" i="11"/>
  <c r="K25" i="11"/>
  <c r="K41" i="11"/>
  <c r="N48" i="11"/>
  <c r="K38" i="11"/>
  <c r="N31" i="11"/>
  <c r="N47" i="11"/>
  <c r="N55" i="11"/>
  <c r="K65" i="11"/>
  <c r="K81" i="11"/>
  <c r="K68" i="11"/>
  <c r="K84" i="11"/>
  <c r="N73" i="11"/>
  <c r="K101" i="11"/>
  <c r="K125" i="11"/>
  <c r="K127" i="11"/>
  <c r="K100" i="11"/>
  <c r="N99" i="11"/>
  <c r="K119" i="11"/>
  <c r="K110" i="11"/>
  <c r="K126" i="11"/>
  <c r="N113" i="11"/>
  <c r="N129" i="11"/>
  <c r="K144" i="11"/>
  <c r="K160" i="11"/>
  <c r="N149" i="11"/>
  <c r="K180" i="11"/>
  <c r="K145" i="11"/>
  <c r="K161" i="11"/>
  <c r="N189" i="11"/>
  <c r="N163" i="11"/>
  <c r="K167" i="11"/>
  <c r="K183" i="11"/>
  <c r="N166" i="11"/>
  <c r="N182" i="11"/>
  <c r="K200" i="11"/>
  <c r="K216" i="11"/>
  <c r="K199" i="11"/>
  <c r="K215" i="11"/>
  <c r="N202" i="11"/>
  <c r="N218" i="11"/>
  <c r="AC113" i="28"/>
  <c r="H60" i="28"/>
  <c r="H44" i="28"/>
  <c r="H10" i="28"/>
  <c r="EI10" i="28"/>
  <c r="DK10" i="28"/>
  <c r="DW10" i="28"/>
  <c r="H72" i="28"/>
  <c r="H86" i="28"/>
  <c r="H27" i="28"/>
  <c r="H42" i="28"/>
  <c r="H23" i="28"/>
  <c r="DK23" i="28"/>
  <c r="H13" i="28"/>
  <c r="DK13" i="28"/>
  <c r="H69" i="28"/>
  <c r="H51" i="28"/>
  <c r="H45" i="28"/>
  <c r="H36" i="28"/>
  <c r="H66" i="28"/>
  <c r="H30" i="28"/>
  <c r="H28" i="28"/>
  <c r="H41" i="28"/>
  <c r="H78" i="28"/>
  <c r="H5" i="28"/>
  <c r="DW5" i="28"/>
  <c r="DK5" i="28"/>
  <c r="EI5" i="28"/>
  <c r="H22" i="28"/>
  <c r="DK22" i="28"/>
  <c r="H19" i="28"/>
  <c r="DK19" i="28"/>
  <c r="H18" i="28"/>
  <c r="DK18" i="28"/>
  <c r="H40" i="28"/>
  <c r="CE91" i="28"/>
  <c r="CM91" i="28"/>
  <c r="CE88" i="28"/>
  <c r="CM88" i="28"/>
  <c r="CE93" i="28"/>
  <c r="CM93" i="28"/>
  <c r="CE90" i="28"/>
  <c r="CM90" i="28"/>
  <c r="CE98" i="28"/>
  <c r="CM98" i="28"/>
  <c r="CE104" i="28"/>
  <c r="CM104" i="28"/>
  <c r="H31" i="28"/>
  <c r="H81" i="28"/>
  <c r="H47" i="28"/>
  <c r="H65" i="28"/>
  <c r="H54" i="28"/>
  <c r="H29" i="28"/>
  <c r="H74" i="28"/>
  <c r="H71" i="28"/>
  <c r="H59" i="28"/>
  <c r="H63" i="28"/>
  <c r="H70" i="28"/>
  <c r="H7" i="28"/>
  <c r="DW7" i="28"/>
  <c r="DK7" i="28"/>
  <c r="EI7" i="28"/>
  <c r="H20" i="28"/>
  <c r="DK20" i="28"/>
  <c r="H33" i="28"/>
  <c r="H34" i="28"/>
  <c r="H77" i="28"/>
  <c r="H83" i="28"/>
  <c r="H26" i="28"/>
  <c r="H21" i="28"/>
  <c r="DK21" i="28"/>
  <c r="H24" i="28"/>
  <c r="DK24" i="28"/>
  <c r="H80" i="28"/>
  <c r="CE102" i="28"/>
  <c r="CM102" i="28"/>
  <c r="CE100" i="28"/>
  <c r="CM100" i="28"/>
  <c r="CE101" i="28"/>
  <c r="CM101" i="28"/>
  <c r="CE99" i="28"/>
  <c r="CM99" i="28"/>
  <c r="H8" i="28"/>
  <c r="EI8" i="28"/>
  <c r="DW8" i="28"/>
  <c r="DK8" i="28"/>
  <c r="H67" i="28"/>
  <c r="H85" i="28"/>
  <c r="H61" i="28"/>
  <c r="H9" i="28"/>
  <c r="DW9" i="28"/>
  <c r="EI9" i="28"/>
  <c r="DK9" i="28"/>
  <c r="H49" i="28"/>
  <c r="H4" i="28"/>
  <c r="EI4" i="28"/>
  <c r="DW4" i="28"/>
  <c r="DK4" i="28"/>
  <c r="H46" i="28"/>
  <c r="H82" i="28"/>
  <c r="H64" i="28"/>
  <c r="H6" i="28"/>
  <c r="EI6" i="28"/>
  <c r="DK6" i="28"/>
  <c r="DW6" i="28"/>
  <c r="H43" i="28"/>
  <c r="H50" i="28"/>
  <c r="H48" i="28"/>
  <c r="CE87" i="28"/>
  <c r="CM87" i="28"/>
  <c r="CE103" i="28"/>
  <c r="CM103" i="28"/>
  <c r="CE94" i="28"/>
  <c r="CM94" i="28"/>
  <c r="CE114" i="28"/>
  <c r="CM114" i="28"/>
  <c r="CE89" i="28"/>
  <c r="CM89" i="28"/>
  <c r="CE106" i="28"/>
  <c r="CM106" i="28"/>
  <c r="H79" i="28"/>
  <c r="H32" i="28"/>
  <c r="H25" i="28"/>
  <c r="H15" i="28"/>
  <c r="DK15" i="28"/>
  <c r="H12" i="28"/>
  <c r="DK12" i="28"/>
  <c r="H73" i="28"/>
  <c r="H62" i="28"/>
  <c r="H56" i="28"/>
  <c r="H11" i="28"/>
  <c r="DK11" i="28"/>
  <c r="H35" i="28"/>
  <c r="H14" i="28"/>
  <c r="DK14" i="28"/>
  <c r="H16" i="28"/>
  <c r="DK16" i="28"/>
  <c r="H76" i="28"/>
  <c r="H52" i="28"/>
  <c r="H37" i="28"/>
  <c r="H75" i="28"/>
  <c r="H84" i="28"/>
  <c r="H38" i="28"/>
  <c r="H17" i="28"/>
  <c r="DK17" i="28"/>
  <c r="H55" i="28"/>
  <c r="H53" i="28"/>
  <c r="H58" i="28"/>
  <c r="H57" i="28"/>
  <c r="H68" i="28"/>
  <c r="H39" i="28"/>
  <c r="CE111" i="28"/>
  <c r="CM111" i="28"/>
  <c r="CE97" i="28"/>
  <c r="CM97" i="28"/>
  <c r="CE96" i="28"/>
  <c r="CM96" i="28"/>
  <c r="CE105" i="28"/>
  <c r="CM105" i="28"/>
  <c r="CE95" i="28"/>
  <c r="CM95" i="28"/>
  <c r="CE109" i="28"/>
  <c r="CM109" i="28"/>
  <c r="CE108" i="28"/>
  <c r="CM108" i="28"/>
  <c r="AC108" i="28"/>
  <c r="AC109" i="28"/>
  <c r="CK108" i="28"/>
  <c r="CK109" i="28"/>
  <c r="ER12" i="28"/>
  <c r="ET12" i="28"/>
  <c r="ER13" i="28"/>
  <c r="ET13" i="28"/>
  <c r="CD81" i="28"/>
  <c r="CM81" i="28"/>
  <c r="X81" i="28"/>
  <c r="Z81" i="28"/>
  <c r="CD60" i="28"/>
  <c r="CM60" i="28"/>
  <c r="X60" i="28"/>
  <c r="Z60" i="28"/>
  <c r="CD29" i="28"/>
  <c r="CM29" i="28"/>
  <c r="X29" i="28"/>
  <c r="Z29" i="28"/>
  <c r="CD74" i="28"/>
  <c r="CM74" i="28"/>
  <c r="X74" i="28"/>
  <c r="Z74" i="28"/>
  <c r="CD76" i="28"/>
  <c r="CM76" i="28"/>
  <c r="X76" i="28"/>
  <c r="Z76" i="28"/>
  <c r="CD36" i="28"/>
  <c r="CM36" i="28"/>
  <c r="X36" i="28"/>
  <c r="Z36" i="28"/>
  <c r="CD50" i="28"/>
  <c r="CM50" i="28"/>
  <c r="X50" i="28"/>
  <c r="Z50" i="28"/>
  <c r="CD34" i="28"/>
  <c r="CM34" i="28"/>
  <c r="X34" i="28"/>
  <c r="Z34" i="28"/>
  <c r="CD68" i="28"/>
  <c r="CM68" i="28"/>
  <c r="X68" i="28"/>
  <c r="Z68" i="28"/>
  <c r="CD19" i="28"/>
  <c r="CM19" i="28"/>
  <c r="X19" i="28"/>
  <c r="Z19" i="28"/>
  <c r="CD39" i="28"/>
  <c r="CM39" i="28"/>
  <c r="X39" i="28"/>
  <c r="Z39" i="28"/>
  <c r="CD67" i="28"/>
  <c r="CM67" i="28"/>
  <c r="X67" i="28"/>
  <c r="Z67" i="28"/>
  <c r="CD85" i="28"/>
  <c r="CM85" i="28"/>
  <c r="X85" i="28"/>
  <c r="Z85" i="28"/>
  <c r="CD61" i="28"/>
  <c r="CM61" i="28"/>
  <c r="X61" i="28"/>
  <c r="Z61" i="28"/>
  <c r="CD42" i="28"/>
  <c r="CM42" i="28"/>
  <c r="X42" i="28"/>
  <c r="Z42" i="28"/>
  <c r="CD23" i="28"/>
  <c r="CM23" i="28"/>
  <c r="X23" i="28"/>
  <c r="Z23" i="28"/>
  <c r="ER16" i="28"/>
  <c r="ET16" i="28"/>
  <c r="CD55" i="28"/>
  <c r="CM55" i="28"/>
  <c r="X55" i="28"/>
  <c r="Z55" i="28"/>
  <c r="CD30" i="28"/>
  <c r="CM30" i="28"/>
  <c r="X30" i="28"/>
  <c r="Z30" i="28"/>
  <c r="CD78" i="28"/>
  <c r="CM78" i="28"/>
  <c r="X78" i="28"/>
  <c r="Z78" i="28"/>
  <c r="CD22" i="28"/>
  <c r="CM22" i="28"/>
  <c r="X22" i="28"/>
  <c r="Z22" i="28"/>
  <c r="CD40" i="28"/>
  <c r="CM40" i="28"/>
  <c r="X40" i="28"/>
  <c r="Z40" i="28"/>
  <c r="CD79" i="28"/>
  <c r="CM79" i="28"/>
  <c r="X79" i="28"/>
  <c r="Z79" i="28"/>
  <c r="CD31" i="28"/>
  <c r="CM31" i="28"/>
  <c r="X31" i="28"/>
  <c r="Z31" i="28"/>
  <c r="CD25" i="28"/>
  <c r="CM25" i="28"/>
  <c r="X25" i="28"/>
  <c r="Z25" i="28"/>
  <c r="CD12" i="28"/>
  <c r="CM12" i="28"/>
  <c r="X12" i="28"/>
  <c r="Z12" i="28"/>
  <c r="CD73" i="28"/>
  <c r="CM73" i="28"/>
  <c r="X73" i="28"/>
  <c r="Z73" i="28"/>
  <c r="CD62" i="28"/>
  <c r="CM62" i="28"/>
  <c r="X62" i="28"/>
  <c r="Z62" i="28"/>
  <c r="CD54" i="28"/>
  <c r="CM54" i="28"/>
  <c r="X54" i="28"/>
  <c r="Z54" i="28"/>
  <c r="CD49" i="28"/>
  <c r="CM49" i="28"/>
  <c r="X49" i="28"/>
  <c r="Z49" i="28"/>
  <c r="CD11" i="28"/>
  <c r="CM11" i="28"/>
  <c r="X11" i="28"/>
  <c r="Z11" i="28"/>
  <c r="CD16" i="28"/>
  <c r="CM16" i="28"/>
  <c r="X16" i="28"/>
  <c r="Z16" i="28"/>
  <c r="CD51" i="28"/>
  <c r="CM51" i="28"/>
  <c r="X51" i="28"/>
  <c r="Z51" i="28"/>
  <c r="CD71" i="28"/>
  <c r="CM71" i="28"/>
  <c r="X71" i="28"/>
  <c r="Z71" i="28"/>
  <c r="CD59" i="28"/>
  <c r="CM59" i="28"/>
  <c r="X59" i="28"/>
  <c r="Z59" i="28"/>
  <c r="CD63" i="28"/>
  <c r="CM63" i="28"/>
  <c r="X63" i="28"/>
  <c r="Z63" i="28"/>
  <c r="CD70" i="28"/>
  <c r="CM70" i="28"/>
  <c r="X70" i="28"/>
  <c r="Z70" i="28"/>
  <c r="ER7" i="28"/>
  <c r="ET7" i="28"/>
  <c r="CD20" i="28"/>
  <c r="CM20" i="28"/>
  <c r="X20" i="28"/>
  <c r="Z20" i="28"/>
  <c r="W33" i="28"/>
  <c r="Y33" i="28"/>
  <c r="X33" i="28"/>
  <c r="Z33" i="28"/>
  <c r="CD58" i="28"/>
  <c r="CM58" i="28"/>
  <c r="X58" i="28"/>
  <c r="Z58" i="28"/>
  <c r="CD77" i="28"/>
  <c r="CM77" i="28"/>
  <c r="X77" i="28"/>
  <c r="Z77" i="28"/>
  <c r="CD5" i="28"/>
  <c r="CM5" i="28"/>
  <c r="X5" i="28"/>
  <c r="Z5" i="28"/>
  <c r="CD57" i="28"/>
  <c r="CM57" i="28"/>
  <c r="X57" i="28"/>
  <c r="Z57" i="28"/>
  <c r="CD83" i="28"/>
  <c r="CM83" i="28"/>
  <c r="X83" i="28"/>
  <c r="Z83" i="28"/>
  <c r="CD80" i="28"/>
  <c r="CM80" i="28"/>
  <c r="X80" i="28"/>
  <c r="Z80" i="28"/>
  <c r="CD32" i="28"/>
  <c r="CM32" i="28"/>
  <c r="X32" i="28"/>
  <c r="Z32" i="28"/>
  <c r="CD47" i="28"/>
  <c r="CM47" i="28"/>
  <c r="X47" i="28"/>
  <c r="Z47" i="28"/>
  <c r="CD65" i="28"/>
  <c r="CM65" i="28"/>
  <c r="X65" i="28"/>
  <c r="Z65" i="28"/>
  <c r="CD52" i="28"/>
  <c r="CM52" i="28"/>
  <c r="X52" i="28"/>
  <c r="Z52" i="28"/>
  <c r="CD75" i="28"/>
  <c r="CM75" i="28"/>
  <c r="X75" i="28"/>
  <c r="Z75" i="28"/>
  <c r="CD84" i="28"/>
  <c r="CM84" i="28"/>
  <c r="X84" i="28"/>
  <c r="Z84" i="28"/>
  <c r="CD48" i="28"/>
  <c r="CM48" i="28"/>
  <c r="X48" i="28"/>
  <c r="Z48" i="28"/>
  <c r="CD21" i="28"/>
  <c r="CM21" i="28"/>
  <c r="X21" i="28"/>
  <c r="Z21" i="28"/>
  <c r="CD24" i="28"/>
  <c r="CM24" i="28"/>
  <c r="X24" i="28"/>
  <c r="Z24" i="28"/>
  <c r="CD27" i="28"/>
  <c r="CM27" i="28"/>
  <c r="X27" i="28"/>
  <c r="Z27" i="28"/>
  <c r="CD9" i="28"/>
  <c r="CM9" i="28"/>
  <c r="X9" i="28"/>
  <c r="Z9" i="28"/>
  <c r="CD35" i="28"/>
  <c r="CM35" i="28"/>
  <c r="X35" i="28"/>
  <c r="Z35" i="28"/>
  <c r="CD69" i="28"/>
  <c r="CM69" i="28"/>
  <c r="X69" i="28"/>
  <c r="Z69" i="28"/>
  <c r="CD46" i="28"/>
  <c r="CM46" i="28"/>
  <c r="X46" i="28"/>
  <c r="Z46" i="28"/>
  <c r="CD45" i="28"/>
  <c r="CM45" i="28"/>
  <c r="X45" i="28"/>
  <c r="Z45" i="28"/>
  <c r="CD7" i="28"/>
  <c r="CM7" i="28"/>
  <c r="X7" i="28"/>
  <c r="Z7" i="28"/>
  <c r="ER20" i="28"/>
  <c r="ET20" i="28"/>
  <c r="CD53" i="28"/>
  <c r="CM53" i="28"/>
  <c r="X53" i="28"/>
  <c r="Z53" i="28"/>
  <c r="CD15" i="28"/>
  <c r="CM15" i="28"/>
  <c r="X15" i="28"/>
  <c r="Z15" i="28"/>
  <c r="CD44" i="28"/>
  <c r="CM44" i="28"/>
  <c r="X44" i="28"/>
  <c r="Z44" i="28"/>
  <c r="CD10" i="28"/>
  <c r="CM10" i="28"/>
  <c r="X10" i="28"/>
  <c r="Z10" i="28"/>
  <c r="CD72" i="28"/>
  <c r="CM72" i="28"/>
  <c r="X72" i="28"/>
  <c r="Z72" i="28"/>
  <c r="CD86" i="28"/>
  <c r="CM86" i="28"/>
  <c r="X86" i="28"/>
  <c r="Z86" i="28"/>
  <c r="CD56" i="28"/>
  <c r="CM56" i="28"/>
  <c r="X56" i="28"/>
  <c r="Z56" i="28"/>
  <c r="X4" i="28"/>
  <c r="Z4" i="28"/>
  <c r="W4" i="28"/>
  <c r="Y4" i="28"/>
  <c r="CD14" i="28"/>
  <c r="CM14" i="28"/>
  <c r="X14" i="28"/>
  <c r="Z14" i="28"/>
  <c r="CD82" i="28"/>
  <c r="CM82" i="28"/>
  <c r="X82" i="28"/>
  <c r="Z82" i="28"/>
  <c r="CD17" i="28"/>
  <c r="CM17" i="28"/>
  <c r="X17" i="28"/>
  <c r="Z17" i="28"/>
  <c r="CD43" i="28"/>
  <c r="CM43" i="28"/>
  <c r="X43" i="28"/>
  <c r="Z43" i="28"/>
  <c r="CD28" i="28"/>
  <c r="CM28" i="28"/>
  <c r="X28" i="28"/>
  <c r="Z28" i="28"/>
  <c r="CD41" i="28"/>
  <c r="CM41" i="28"/>
  <c r="X41" i="28"/>
  <c r="Z41" i="28"/>
  <c r="CD18" i="28"/>
  <c r="CM18" i="28"/>
  <c r="X18" i="28"/>
  <c r="Z18" i="28"/>
  <c r="ER6" i="28"/>
  <c r="ET6" i="28"/>
  <c r="ER17" i="28"/>
  <c r="ET17" i="28"/>
  <c r="ER18" i="28"/>
  <c r="ET18" i="28"/>
  <c r="F6" i="29"/>
  <c r="J6" i="29"/>
  <c r="H4" i="29"/>
  <c r="E9" i="29"/>
  <c r="I9" i="29"/>
  <c r="CK99" i="28"/>
  <c r="AG106" i="28"/>
  <c r="CH106" i="28"/>
  <c r="CI106" i="28"/>
  <c r="CK106" i="28"/>
  <c r="AC106" i="28"/>
  <c r="AC99" i="28"/>
  <c r="CK96" i="28"/>
  <c r="CK111" i="28"/>
  <c r="AC102" i="28"/>
  <c r="CK93" i="28"/>
  <c r="CK92" i="28"/>
  <c r="CK98" i="28"/>
  <c r="AC105" i="28"/>
  <c r="AC114" i="28"/>
  <c r="AD114" i="28"/>
  <c r="CK88" i="28"/>
  <c r="AC96" i="28"/>
  <c r="AC90" i="28"/>
  <c r="AC100" i="28"/>
  <c r="CK90" i="28"/>
  <c r="AC101" i="28"/>
  <c r="AC94" i="28"/>
  <c r="CK91" i="28"/>
  <c r="CK97" i="28"/>
  <c r="AC93" i="28"/>
  <c r="AD93" i="28"/>
  <c r="CK95" i="28"/>
  <c r="AC92" i="28"/>
  <c r="CK102" i="28"/>
  <c r="AC103" i="28"/>
  <c r="CK105" i="28"/>
  <c r="CK114" i="28"/>
  <c r="CE92" i="28"/>
  <c r="AC111" i="28"/>
  <c r="CK103" i="28"/>
  <c r="AC89" i="28"/>
  <c r="AD89" i="28"/>
  <c r="AC88" i="28"/>
  <c r="CK89" i="28"/>
  <c r="AC87" i="28"/>
  <c r="CK100" i="28"/>
  <c r="CK94" i="28"/>
  <c r="CK101" i="28"/>
  <c r="CK87" i="28"/>
  <c r="AC97" i="28"/>
  <c r="AC95" i="28"/>
  <c r="AC98" i="28"/>
  <c r="AC91" i="28"/>
  <c r="E11" i="29"/>
  <c r="I11" i="29"/>
  <c r="W18" i="28"/>
  <c r="Y18" i="28"/>
  <c r="F7" i="29"/>
  <c r="J7" i="29"/>
  <c r="O41" i="28"/>
  <c r="BW41" i="28"/>
  <c r="O69" i="28"/>
  <c r="B69" i="30"/>
  <c r="O10" i="28"/>
  <c r="AZ10" i="28"/>
  <c r="W24" i="28"/>
  <c r="Y24" i="28"/>
  <c r="O54" i="28"/>
  <c r="P54" i="28"/>
  <c r="O78" i="28"/>
  <c r="P78" i="28"/>
  <c r="O59" i="28"/>
  <c r="AY59" i="28"/>
  <c r="F37" i="29"/>
  <c r="J37" i="29"/>
  <c r="O5" i="28"/>
  <c r="EN5" i="28"/>
  <c r="O40" i="28"/>
  <c r="B40" i="30"/>
  <c r="E19" i="29"/>
  <c r="I19" i="29"/>
  <c r="O52" i="28"/>
  <c r="AZ52" i="28"/>
  <c r="BE52" i="28"/>
  <c r="DF52" i="28"/>
  <c r="O32" i="28"/>
  <c r="BX32" i="28"/>
  <c r="CC32" i="28"/>
  <c r="ED32" i="28"/>
  <c r="EE32" i="28"/>
  <c r="D5" i="29"/>
  <c r="H5" i="29"/>
  <c r="O48" i="28"/>
  <c r="AZ48" i="28"/>
  <c r="BE48" i="28"/>
  <c r="DF48" i="28"/>
  <c r="DG48" i="28"/>
  <c r="O33" i="28"/>
  <c r="W22" i="28"/>
  <c r="Y22" i="28"/>
  <c r="W9" i="28"/>
  <c r="Y9" i="28"/>
  <c r="W12" i="28"/>
  <c r="Y12" i="28"/>
  <c r="O67" i="28"/>
  <c r="P67" i="28"/>
  <c r="W84" i="28"/>
  <c r="Y84" i="28"/>
  <c r="W30" i="28"/>
  <c r="Y30" i="28"/>
  <c r="O65" i="28"/>
  <c r="P65" i="28"/>
  <c r="W80" i="28"/>
  <c r="Y80" i="28"/>
  <c r="O15" i="28"/>
  <c r="AZ15" i="28"/>
  <c r="BE15" i="28"/>
  <c r="DF15" i="28"/>
  <c r="DG15" i="28"/>
  <c r="DI15" i="28"/>
  <c r="W32" i="28"/>
  <c r="Y32" i="28"/>
  <c r="O81" i="28"/>
  <c r="B81" i="30"/>
  <c r="W62" i="28"/>
  <c r="Y62" i="28"/>
  <c r="W41" i="28"/>
  <c r="Y41" i="28"/>
  <c r="O86" i="28"/>
  <c r="B86" i="30"/>
  <c r="W42" i="28"/>
  <c r="Y42" i="28"/>
  <c r="W31" i="28"/>
  <c r="Y31" i="28"/>
  <c r="W81" i="28"/>
  <c r="Y81" i="28"/>
  <c r="O6" i="28"/>
  <c r="BL6" i="28"/>
  <c r="BQ6" i="28"/>
  <c r="DR6" i="28"/>
  <c r="DS6" i="28"/>
  <c r="DU6" i="28"/>
  <c r="O24" i="28"/>
  <c r="P24" i="28"/>
  <c r="W36" i="28"/>
  <c r="Y36" i="28"/>
  <c r="W71" i="28"/>
  <c r="Y71" i="28"/>
  <c r="W43" i="28"/>
  <c r="Y43" i="28"/>
  <c r="O74" i="28"/>
  <c r="P74" i="28"/>
  <c r="F10" i="29"/>
  <c r="J10" i="29"/>
  <c r="O76" i="28"/>
  <c r="P76" i="28"/>
  <c r="D13" i="29"/>
  <c r="H13" i="29"/>
  <c r="BU37" i="28"/>
  <c r="O26" i="28"/>
  <c r="BX26" i="28"/>
  <c r="CC26" i="28"/>
  <c r="ED26" i="28"/>
  <c r="O39" i="28"/>
  <c r="AZ39" i="28"/>
  <c r="BE39" i="28"/>
  <c r="DF39" i="28"/>
  <c r="DG39" i="28"/>
  <c r="ER15" i="28"/>
  <c r="ET15" i="28"/>
  <c r="ER10" i="28"/>
  <c r="ET10" i="28"/>
  <c r="O13" i="28"/>
  <c r="BX13" i="28"/>
  <c r="CC13" i="28"/>
  <c r="ED13" i="28"/>
  <c r="O25" i="28"/>
  <c r="BX25" i="28"/>
  <c r="CC25" i="28"/>
  <c r="ED25" i="28"/>
  <c r="EE25" i="28"/>
  <c r="W23" i="28"/>
  <c r="Y23" i="28"/>
  <c r="ER11" i="28"/>
  <c r="ET11" i="28"/>
  <c r="O49" i="28"/>
  <c r="AZ49" i="28"/>
  <c r="BE49" i="28"/>
  <c r="DF49" i="28"/>
  <c r="DG49" i="28"/>
  <c r="D26" i="29"/>
  <c r="H26" i="29"/>
  <c r="D10" i="29"/>
  <c r="H10" i="29"/>
  <c r="W15" i="28"/>
  <c r="Y15" i="28"/>
  <c r="D11" i="29"/>
  <c r="H11" i="29"/>
  <c r="W35" i="28"/>
  <c r="Y35" i="28"/>
  <c r="W76" i="28"/>
  <c r="Y76" i="28"/>
  <c r="BU6" i="28"/>
  <c r="W59" i="28"/>
  <c r="Y59" i="28"/>
  <c r="O18" i="28"/>
  <c r="B18" i="30"/>
  <c r="W53" i="28"/>
  <c r="Y53" i="28"/>
  <c r="W77" i="28"/>
  <c r="Y77" i="28"/>
  <c r="F26" i="29"/>
  <c r="J26" i="29"/>
  <c r="F12" i="29"/>
  <c r="J12" i="29"/>
  <c r="D27" i="29"/>
  <c r="H27" i="29"/>
  <c r="W69" i="28"/>
  <c r="Y69" i="28"/>
  <c r="O46" i="28"/>
  <c r="B46" i="30"/>
  <c r="W85" i="28"/>
  <c r="Y85" i="28"/>
  <c r="W74" i="28"/>
  <c r="Y74" i="28"/>
  <c r="W16" i="28"/>
  <c r="Y16" i="28"/>
  <c r="W52" i="28"/>
  <c r="Y52" i="28"/>
  <c r="W75" i="28"/>
  <c r="Y75" i="28"/>
  <c r="O83" i="28"/>
  <c r="O44" i="28"/>
  <c r="AZ44" i="28"/>
  <c r="BE44" i="28"/>
  <c r="DF44" i="28"/>
  <c r="DG44" i="28"/>
  <c r="O28" i="28"/>
  <c r="BX28" i="28"/>
  <c r="CC28" i="28"/>
  <c r="ED28" i="28"/>
  <c r="O77" i="28"/>
  <c r="P77" i="28"/>
  <c r="O36" i="28"/>
  <c r="AZ36" i="28"/>
  <c r="BE36" i="28"/>
  <c r="DF36" i="28"/>
  <c r="DG36" i="28"/>
  <c r="ER5" i="28"/>
  <c r="ET5" i="28"/>
  <c r="CS114" i="28"/>
  <c r="CV114" i="28"/>
  <c r="CX114" i="28"/>
  <c r="F15" i="29"/>
  <c r="J15" i="29"/>
  <c r="BU15" i="28"/>
  <c r="O14" i="28"/>
  <c r="AZ14" i="28"/>
  <c r="BE14" i="28"/>
  <c r="DF14" i="28"/>
  <c r="O56" i="28"/>
  <c r="AZ56" i="28"/>
  <c r="BE56" i="28"/>
  <c r="DF56" i="28"/>
  <c r="W67" i="28"/>
  <c r="Y67" i="28"/>
  <c r="AW44" i="28"/>
  <c r="D44" i="29"/>
  <c r="H44" i="29"/>
  <c r="O12" i="28"/>
  <c r="AZ12" i="28"/>
  <c r="BE12" i="28"/>
  <c r="DF12" i="28"/>
  <c r="AW56" i="28"/>
  <c r="D56" i="29"/>
  <c r="H56" i="29"/>
  <c r="D42" i="29"/>
  <c r="H42" i="29"/>
  <c r="AW42" i="28"/>
  <c r="O73" i="28"/>
  <c r="W49" i="28"/>
  <c r="Y49" i="28"/>
  <c r="BU23" i="28"/>
  <c r="F23" i="29"/>
  <c r="J23" i="29"/>
  <c r="F4" i="29"/>
  <c r="J4" i="29"/>
  <c r="BI13" i="28"/>
  <c r="E13" i="29"/>
  <c r="I13" i="29"/>
  <c r="W14" i="28"/>
  <c r="Y14" i="28"/>
  <c r="E16" i="29"/>
  <c r="I16" i="29"/>
  <c r="BI16" i="28"/>
  <c r="O60" i="28"/>
  <c r="AZ60" i="28"/>
  <c r="BE60" i="28"/>
  <c r="DF60" i="28"/>
  <c r="W46" i="28"/>
  <c r="Y46" i="28"/>
  <c r="Z37" i="28"/>
  <c r="CD37" i="28"/>
  <c r="CM37" i="28"/>
  <c r="O50" i="28"/>
  <c r="AZ50" i="28"/>
  <c r="BE50" i="28"/>
  <c r="DF50" i="28"/>
  <c r="DG50" i="28"/>
  <c r="O22" i="28"/>
  <c r="BL22" i="28"/>
  <c r="BQ22" i="28"/>
  <c r="DR22" i="28"/>
  <c r="O71" i="28"/>
  <c r="AW55" i="28"/>
  <c r="D55" i="29"/>
  <c r="H55" i="29"/>
  <c r="O64" i="28"/>
  <c r="BU28" i="28"/>
  <c r="F28" i="29"/>
  <c r="J28" i="29"/>
  <c r="O30" i="28"/>
  <c r="BX30" i="28"/>
  <c r="CC30" i="28"/>
  <c r="ED30" i="28"/>
  <c r="W21" i="28"/>
  <c r="Y21" i="28"/>
  <c r="AW18" i="28"/>
  <c r="D18" i="29"/>
  <c r="H18" i="29"/>
  <c r="BU40" i="28"/>
  <c r="F40" i="29"/>
  <c r="J40" i="29"/>
  <c r="D25" i="29"/>
  <c r="H25" i="29"/>
  <c r="AW25" i="28"/>
  <c r="BU13" i="28"/>
  <c r="F13" i="29"/>
  <c r="J13" i="29"/>
  <c r="W64" i="28"/>
  <c r="Y64" i="28"/>
  <c r="CD64" i="28"/>
  <c r="CM64" i="28"/>
  <c r="W66" i="28"/>
  <c r="Y66" i="28"/>
  <c r="CD66" i="28"/>
  <c r="CM66" i="28"/>
  <c r="F17" i="29"/>
  <c r="J17" i="29"/>
  <c r="BU17" i="28"/>
  <c r="AW50" i="28"/>
  <c r="D50" i="29"/>
  <c r="H50" i="29"/>
  <c r="E5" i="29"/>
  <c r="I5" i="29"/>
  <c r="BI5" i="28"/>
  <c r="BU22" i="28"/>
  <c r="F22" i="29"/>
  <c r="J22" i="29"/>
  <c r="BU32" i="28"/>
  <c r="F32" i="29"/>
  <c r="J32" i="29"/>
  <c r="BI15" i="28"/>
  <c r="E15" i="29"/>
  <c r="I15" i="29"/>
  <c r="AW47" i="28"/>
  <c r="D47" i="29"/>
  <c r="H47" i="29"/>
  <c r="BI9" i="28"/>
  <c r="D14" i="29"/>
  <c r="H14" i="29"/>
  <c r="AW14" i="28"/>
  <c r="F16" i="29"/>
  <c r="J16" i="29"/>
  <c r="BU16" i="28"/>
  <c r="D51" i="29"/>
  <c r="H51" i="29"/>
  <c r="AW51" i="28"/>
  <c r="AW36" i="28"/>
  <c r="D36" i="29"/>
  <c r="H36" i="29"/>
  <c r="Z66" i="28"/>
  <c r="E6" i="29"/>
  <c r="I6" i="29"/>
  <c r="D20" i="29"/>
  <c r="H20" i="29"/>
  <c r="AW20" i="28"/>
  <c r="Z26" i="28"/>
  <c r="W26" i="28"/>
  <c r="Y26" i="28"/>
  <c r="CD26" i="28"/>
  <c r="CM26" i="28"/>
  <c r="AW21" i="28"/>
  <c r="D21" i="29"/>
  <c r="H21" i="29"/>
  <c r="W39" i="28"/>
  <c r="Y39" i="28"/>
  <c r="O63" i="28"/>
  <c r="F31" i="29"/>
  <c r="J31" i="29"/>
  <c r="BU31" i="28"/>
  <c r="O4" i="28"/>
  <c r="O16" i="28"/>
  <c r="BX16" i="28"/>
  <c r="CC16" i="28"/>
  <c r="ED16" i="28"/>
  <c r="BI12" i="28"/>
  <c r="E12" i="29"/>
  <c r="I12" i="29"/>
  <c r="W60" i="28"/>
  <c r="Y60" i="28"/>
  <c r="O61" i="28"/>
  <c r="O82" i="28"/>
  <c r="E10" i="29"/>
  <c r="I10" i="29"/>
  <c r="W72" i="28"/>
  <c r="Y72" i="28"/>
  <c r="W56" i="28"/>
  <c r="Y56" i="28"/>
  <c r="D9" i="29"/>
  <c r="H9" i="29"/>
  <c r="AW9" i="28"/>
  <c r="ER4" i="28"/>
  <c r="ET4" i="28"/>
  <c r="BI11" i="28"/>
  <c r="F11" i="29"/>
  <c r="J11" i="29"/>
  <c r="CD13" i="28"/>
  <c r="CM13" i="28"/>
  <c r="Z13" i="28"/>
  <c r="W13" i="28"/>
  <c r="Y13" i="28"/>
  <c r="O9" i="28"/>
  <c r="AZ9" i="28"/>
  <c r="BE9" i="28"/>
  <c r="DF9" i="28"/>
  <c r="AW45" i="28"/>
  <c r="D45" i="29"/>
  <c r="H45" i="29"/>
  <c r="O70" i="28"/>
  <c r="O55" i="28"/>
  <c r="AZ55" i="28"/>
  <c r="BE55" i="28"/>
  <c r="DF55" i="28"/>
  <c r="DG55" i="28"/>
  <c r="F38" i="29"/>
  <c r="J38" i="29"/>
  <c r="AW17" i="28"/>
  <c r="D17" i="29"/>
  <c r="H17" i="29"/>
  <c r="O66" i="28"/>
  <c r="E7" i="29"/>
  <c r="I7" i="29"/>
  <c r="BI7" i="28"/>
  <c r="O84" i="28"/>
  <c r="AW30" i="28"/>
  <c r="D30" i="29"/>
  <c r="H30" i="29"/>
  <c r="O19" i="28"/>
  <c r="BL19" i="28"/>
  <c r="BQ19" i="28"/>
  <c r="DR19" i="28"/>
  <c r="CD33" i="28"/>
  <c r="CM33" i="28"/>
  <c r="W28" i="28"/>
  <c r="Y28" i="28"/>
  <c r="D34" i="29"/>
  <c r="H34" i="29"/>
  <c r="AW34" i="28"/>
  <c r="AW5" i="28"/>
  <c r="BI19" i="28"/>
  <c r="W83" i="28"/>
  <c r="Y83" i="28"/>
  <c r="BU26" i="28"/>
  <c r="F18" i="29"/>
  <c r="J18" i="29"/>
  <c r="BU18" i="28"/>
  <c r="E18" i="29"/>
  <c r="I18" i="29"/>
  <c r="BI18" i="28"/>
  <c r="AW32" i="28"/>
  <c r="D32" i="29"/>
  <c r="H32" i="29"/>
  <c r="AW15" i="28"/>
  <c r="D15" i="29"/>
  <c r="H15" i="29"/>
  <c r="BU9" i="28"/>
  <c r="F9" i="29"/>
  <c r="J9" i="29"/>
  <c r="D23" i="29"/>
  <c r="H23" i="29"/>
  <c r="AW23" i="28"/>
  <c r="AW4" i="28"/>
  <c r="W45" i="28"/>
  <c r="Y45" i="28"/>
  <c r="BU36" i="28"/>
  <c r="F36" i="29"/>
  <c r="J36" i="29"/>
  <c r="O58" i="28"/>
  <c r="D6" i="29"/>
  <c r="H6" i="29"/>
  <c r="AX6" i="28"/>
  <c r="CD38" i="28"/>
  <c r="CM38" i="28"/>
  <c r="Z38" i="28"/>
  <c r="W38" i="28"/>
  <c r="Y38" i="28"/>
  <c r="W7" i="28"/>
  <c r="Y7" i="28"/>
  <c r="BI20" i="28"/>
  <c r="E20" i="29"/>
  <c r="I20" i="29"/>
  <c r="BU30" i="28"/>
  <c r="F30" i="29"/>
  <c r="J30" i="29"/>
  <c r="AW28" i="28"/>
  <c r="D28" i="29"/>
  <c r="H28" i="29"/>
  <c r="W58" i="28"/>
  <c r="Y58" i="28"/>
  <c r="BU5" i="28"/>
  <c r="F5" i="29"/>
  <c r="J5" i="29"/>
  <c r="AW57" i="28"/>
  <c r="D57" i="29"/>
  <c r="H57" i="29"/>
  <c r="F19" i="29"/>
  <c r="J19" i="29"/>
  <c r="BU19" i="28"/>
  <c r="AW26" i="28"/>
  <c r="BU39" i="28"/>
  <c r="F39" i="29"/>
  <c r="J39" i="29"/>
  <c r="O35" i="28"/>
  <c r="D12" i="29"/>
  <c r="H12" i="29"/>
  <c r="W44" i="28"/>
  <c r="Y44" i="28"/>
  <c r="BU10" i="28"/>
  <c r="O51" i="28"/>
  <c r="W29" i="28"/>
  <c r="Y29" i="28"/>
  <c r="ER9" i="28"/>
  <c r="ET9" i="28"/>
  <c r="CM4" i="28"/>
  <c r="AW13" i="28"/>
  <c r="D35" i="29"/>
  <c r="H35" i="29"/>
  <c r="AW35" i="28"/>
  <c r="E14" i="29"/>
  <c r="I14" i="29"/>
  <c r="BI14" i="28"/>
  <c r="D16" i="29"/>
  <c r="H16" i="29"/>
  <c r="AW16" i="28"/>
  <c r="O27" i="28"/>
  <c r="W37" i="28"/>
  <c r="Y37" i="28"/>
  <c r="O43" i="28"/>
  <c r="AZ43" i="28"/>
  <c r="BE43" i="28"/>
  <c r="DF43" i="28"/>
  <c r="DG43" i="28"/>
  <c r="O7" i="28"/>
  <c r="O57" i="28"/>
  <c r="O21" i="28"/>
  <c r="W17" i="28"/>
  <c r="Y17" i="28"/>
  <c r="W63" i="28"/>
  <c r="Y63" i="28"/>
  <c r="W50" i="28"/>
  <c r="Y50" i="28"/>
  <c r="W20" i="28"/>
  <c r="Y20" i="28"/>
  <c r="O38" i="28"/>
  <c r="BW38" i="28"/>
  <c r="AW48" i="28"/>
  <c r="D48" i="29"/>
  <c r="H48" i="29"/>
  <c r="BU33" i="28"/>
  <c r="F33" i="29"/>
  <c r="J33" i="29"/>
  <c r="O17" i="28"/>
  <c r="BX17" i="28"/>
  <c r="CC17" i="28"/>
  <c r="ED17" i="28"/>
  <c r="D41" i="29"/>
  <c r="H41" i="29"/>
  <c r="AW41" i="28"/>
  <c r="W78" i="28"/>
  <c r="Y78" i="28"/>
  <c r="BU34" i="28"/>
  <c r="F34" i="29"/>
  <c r="J34" i="29"/>
  <c r="O20" i="28"/>
  <c r="BL20" i="28"/>
  <c r="BQ20" i="28"/>
  <c r="DR20" i="28"/>
  <c r="W68" i="28"/>
  <c r="Y68" i="28"/>
  <c r="W19" i="28"/>
  <c r="Y19" i="28"/>
  <c r="AW19" i="28"/>
  <c r="D19" i="29"/>
  <c r="H19" i="29"/>
  <c r="BU24" i="28"/>
  <c r="F24" i="29"/>
  <c r="J24" i="29"/>
  <c r="AW40" i="28"/>
  <c r="D40" i="29"/>
  <c r="H40" i="29"/>
  <c r="W25" i="28"/>
  <c r="Y25" i="28"/>
  <c r="O11" i="28"/>
  <c r="BX11" i="28"/>
  <c r="CC11" i="28"/>
  <c r="ED11" i="28"/>
  <c r="O62" i="28"/>
  <c r="O29" i="28"/>
  <c r="W73" i="28"/>
  <c r="Y73" i="28"/>
  <c r="W10" i="28"/>
  <c r="Y10" i="28"/>
  <c r="O37" i="28"/>
  <c r="W86" i="28"/>
  <c r="Y86" i="28"/>
  <c r="D54" i="29"/>
  <c r="H54" i="29"/>
  <c r="AW54" i="28"/>
  <c r="AW27" i="28"/>
  <c r="W61" i="28"/>
  <c r="Y61" i="28"/>
  <c r="BU29" i="28"/>
  <c r="F29" i="29"/>
  <c r="J29" i="29"/>
  <c r="O31" i="28"/>
  <c r="D49" i="29"/>
  <c r="H49" i="29"/>
  <c r="AW49" i="28"/>
  <c r="BU4" i="28"/>
  <c r="W11" i="28"/>
  <c r="Y11" i="28"/>
  <c r="BU35" i="28"/>
  <c r="F35" i="29"/>
  <c r="J35" i="29"/>
  <c r="ER14" i="28"/>
  <c r="ET14" i="28"/>
  <c r="D52" i="29"/>
  <c r="H52" i="29"/>
  <c r="AW52" i="28"/>
  <c r="W82" i="28"/>
  <c r="Y82" i="28"/>
  <c r="W51" i="28"/>
  <c r="Y51" i="28"/>
  <c r="O72" i="28"/>
  <c r="D37" i="29"/>
  <c r="H37" i="29"/>
  <c r="AW37" i="28"/>
  <c r="BI6" i="28"/>
  <c r="AW38" i="28"/>
  <c r="D38" i="29"/>
  <c r="H38" i="29"/>
  <c r="O68" i="28"/>
  <c r="E17" i="29"/>
  <c r="I17" i="29"/>
  <c r="BI17" i="28"/>
  <c r="W70" i="28"/>
  <c r="Y70" i="28"/>
  <c r="BU7" i="28"/>
  <c r="AW53" i="28"/>
  <c r="D53" i="29"/>
  <c r="H53" i="29"/>
  <c r="W5" i="28"/>
  <c r="Y5" i="28"/>
  <c r="AW22" i="28"/>
  <c r="D22" i="29"/>
  <c r="H22" i="29"/>
  <c r="BU21" i="28"/>
  <c r="F21" i="29"/>
  <c r="J21" i="29"/>
  <c r="D39" i="29"/>
  <c r="H39" i="29"/>
  <c r="AW39" i="28"/>
  <c r="D31" i="29"/>
  <c r="H31" i="29"/>
  <c r="AW31" i="28"/>
  <c r="BU25" i="28"/>
  <c r="F25" i="29"/>
  <c r="J25" i="29"/>
  <c r="BU12" i="28"/>
  <c r="O85" i="28"/>
  <c r="O42" i="28"/>
  <c r="W47" i="28"/>
  <c r="Y47" i="28"/>
  <c r="W65" i="28"/>
  <c r="Y65" i="28"/>
  <c r="W54" i="28"/>
  <c r="Y54" i="28"/>
  <c r="W27" i="28"/>
  <c r="Y27" i="28"/>
  <c r="BU27" i="28"/>
  <c r="F27" i="29"/>
  <c r="J27" i="29"/>
  <c r="D29" i="29"/>
  <c r="H29" i="29"/>
  <c r="AW29" i="28"/>
  <c r="O47" i="28"/>
  <c r="E4" i="29"/>
  <c r="I4" i="29"/>
  <c r="O45" i="28"/>
  <c r="F14" i="29"/>
  <c r="J14" i="29"/>
  <c r="BU14" i="28"/>
  <c r="D46" i="29"/>
  <c r="H46" i="29"/>
  <c r="AW46" i="28"/>
  <c r="O23" i="28"/>
  <c r="EM23" i="28"/>
  <c r="Z64" i="28"/>
  <c r="O34" i="28"/>
  <c r="CD6" i="28"/>
  <c r="CM6" i="28"/>
  <c r="Z6" i="28"/>
  <c r="W6" i="28"/>
  <c r="Y6" i="28"/>
  <c r="O80" i="28"/>
  <c r="AW43" i="28"/>
  <c r="D43" i="29"/>
  <c r="H43" i="29"/>
  <c r="AW7" i="28"/>
  <c r="D7" i="29"/>
  <c r="H7" i="29"/>
  <c r="W55" i="28"/>
  <c r="Y55" i="28"/>
  <c r="O75" i="28"/>
  <c r="F20" i="29"/>
  <c r="J20" i="29"/>
  <c r="BU20" i="28"/>
  <c r="W48" i="28"/>
  <c r="Y48" i="28"/>
  <c r="AW33" i="28"/>
  <c r="D33" i="29"/>
  <c r="H33" i="29"/>
  <c r="D58" i="29"/>
  <c r="H58" i="29"/>
  <c r="AW58" i="28"/>
  <c r="W34" i="28"/>
  <c r="Y34" i="28"/>
  <c r="W57" i="28"/>
  <c r="Y57" i="28"/>
  <c r="O53" i="28"/>
  <c r="AW24" i="28"/>
  <c r="D24" i="29"/>
  <c r="H24" i="29"/>
  <c r="W40" i="28"/>
  <c r="Y40" i="28"/>
  <c r="W79" i="28"/>
  <c r="Y79" i="28"/>
  <c r="AQ110" i="28"/>
  <c r="O79" i="28"/>
  <c r="AR95" i="28"/>
  <c r="CR95" i="28"/>
  <c r="CS95" i="28"/>
  <c r="AR96" i="28"/>
  <c r="CR96" i="28"/>
  <c r="AR97" i="28"/>
  <c r="CR97" i="28"/>
  <c r="CS97" i="28"/>
  <c r="AR98" i="28"/>
  <c r="CR98" i="28"/>
  <c r="AR105" i="28"/>
  <c r="CR105" i="28"/>
  <c r="CS105" i="28"/>
  <c r="AR107" i="28"/>
  <c r="CR107" i="28"/>
  <c r="CS107" i="28"/>
  <c r="AR99" i="28"/>
  <c r="CR99" i="28"/>
  <c r="CS99" i="28"/>
  <c r="AR100" i="28"/>
  <c r="CR100" i="28"/>
  <c r="CS100" i="28"/>
  <c r="AR109" i="28"/>
  <c r="CR109" i="28"/>
  <c r="CS109" i="28"/>
  <c r="AR102" i="28"/>
  <c r="CR102" i="28"/>
  <c r="CS102" i="28"/>
  <c r="AQ112" i="28"/>
  <c r="AR112" i="28"/>
  <c r="CR112" i="28"/>
  <c r="AR101" i="28"/>
  <c r="CR101" i="28"/>
  <c r="CS101" i="28"/>
  <c r="AR104" i="28"/>
  <c r="CR104" i="28"/>
  <c r="AR106" i="28"/>
  <c r="CR106" i="28"/>
  <c r="AR111" i="28"/>
  <c r="CR111" i="28"/>
  <c r="CS111" i="28"/>
  <c r="AR103" i="28"/>
  <c r="CR103" i="28"/>
  <c r="CS103" i="28"/>
  <c r="L112" i="30"/>
  <c r="K112" i="30"/>
  <c r="AF112" i="28"/>
  <c r="CF112" i="28"/>
  <c r="CG112" i="28"/>
  <c r="AR91" i="28"/>
  <c r="CR91" i="28"/>
  <c r="CS91" i="28"/>
  <c r="D8" i="29"/>
  <c r="H8" i="29"/>
  <c r="O8" i="28"/>
  <c r="AW8" i="28"/>
  <c r="ER8" i="28"/>
  <c r="ET8" i="28"/>
  <c r="F8" i="29"/>
  <c r="J8" i="29"/>
  <c r="E8" i="29"/>
  <c r="I8" i="29"/>
  <c r="BI8" i="28"/>
  <c r="W8" i="28"/>
  <c r="Y8" i="28"/>
  <c r="CD8" i="28"/>
  <c r="CM8" i="28"/>
  <c r="Z8" i="28"/>
  <c r="L110" i="30"/>
  <c r="K110" i="30"/>
  <c r="AQ109" i="28"/>
  <c r="AQ94" i="28"/>
  <c r="AQ91" i="28"/>
  <c r="AE112" i="28"/>
  <c r="AQ102" i="28"/>
  <c r="E22" i="29"/>
  <c r="I22" i="29"/>
  <c r="AQ103" i="28"/>
  <c r="AQ104" i="28"/>
  <c r="AQ99" i="28"/>
  <c r="F42" i="29"/>
  <c r="J42" i="29"/>
  <c r="ER22" i="28"/>
  <c r="ET22" i="28"/>
  <c r="AQ87" i="28"/>
  <c r="AQ88" i="28"/>
  <c r="D60" i="29"/>
  <c r="H60" i="29"/>
  <c r="AQ92" i="28"/>
  <c r="AW60" i="28"/>
  <c r="AT62" i="28"/>
  <c r="AV62" i="28"/>
  <c r="AX61" i="28"/>
  <c r="AU61" i="28"/>
  <c r="AQ111" i="28"/>
  <c r="AQ95" i="28"/>
  <c r="AQ100" i="28"/>
  <c r="BR44" i="28"/>
  <c r="BT44" i="28"/>
  <c r="BS43" i="28"/>
  <c r="BV43" i="28"/>
  <c r="AQ107" i="28"/>
  <c r="AQ106" i="28"/>
  <c r="AQ98" i="28"/>
  <c r="AQ101" i="28"/>
  <c r="DB25" i="28"/>
  <c r="DK25" i="28"/>
  <c r="AQ105" i="28"/>
  <c r="AQ96" i="28"/>
  <c r="BF24" i="28"/>
  <c r="BH24" i="28"/>
  <c r="BJ23" i="28"/>
  <c r="BG23" i="28"/>
  <c r="EL24" i="28"/>
  <c r="EP23" i="28"/>
  <c r="EQ23" i="28"/>
  <c r="BI22" i="28"/>
  <c r="BU42" i="28"/>
  <c r="DZ11" i="28"/>
  <c r="EI11" i="28"/>
  <c r="DN11" i="28"/>
  <c r="DW11" i="28"/>
  <c r="B19" i="11"/>
  <c r="AR108" i="28"/>
  <c r="CR108" i="28"/>
  <c r="CS108" i="28"/>
  <c r="AQ113" i="28"/>
  <c r="AE110" i="28"/>
  <c r="AQ90" i="28"/>
  <c r="AA49" i="28"/>
  <c r="AR93" i="28"/>
  <c r="CR93" i="28"/>
  <c r="CS93" i="28"/>
  <c r="CV93" i="28"/>
  <c r="CX93" i="28"/>
  <c r="AQ89" i="28"/>
  <c r="AD91" i="28"/>
  <c r="L91" i="30"/>
  <c r="AD87" i="28"/>
  <c r="L87" i="30"/>
  <c r="AD94" i="28"/>
  <c r="L94" i="30"/>
  <c r="AD90" i="28"/>
  <c r="L90" i="30"/>
  <c r="AD105" i="28"/>
  <c r="L105" i="30"/>
  <c r="AD102" i="28"/>
  <c r="L102" i="30"/>
  <c r="AD106" i="28"/>
  <c r="L106" i="30"/>
  <c r="AD113" i="28"/>
  <c r="AE113" i="28"/>
  <c r="F113" i="32"/>
  <c r="AD107" i="28"/>
  <c r="L107" i="30"/>
  <c r="K107" i="30"/>
  <c r="AD98" i="28"/>
  <c r="L98" i="30"/>
  <c r="AD111" i="28"/>
  <c r="L111" i="30"/>
  <c r="AD103" i="28"/>
  <c r="L103" i="30"/>
  <c r="AD101" i="28"/>
  <c r="L101" i="30"/>
  <c r="AD96" i="28"/>
  <c r="L96" i="30"/>
  <c r="AD109" i="28"/>
  <c r="AE109" i="28"/>
  <c r="F109" i="32"/>
  <c r="L109" i="32"/>
  <c r="AD95" i="28"/>
  <c r="L95" i="30"/>
  <c r="AD88" i="28"/>
  <c r="L88" i="30"/>
  <c r="AD104" i="28"/>
  <c r="AE104" i="28"/>
  <c r="F104" i="32"/>
  <c r="AD97" i="28"/>
  <c r="L97" i="30"/>
  <c r="AD92" i="28"/>
  <c r="AE92" i="28"/>
  <c r="F92" i="32"/>
  <c r="AD100" i="28"/>
  <c r="L100" i="30"/>
  <c r="AD99" i="28"/>
  <c r="L99" i="30"/>
  <c r="AD108" i="28"/>
  <c r="AE108" i="28"/>
  <c r="F108" i="32"/>
  <c r="AH67" i="28"/>
  <c r="AJ67" i="28"/>
  <c r="AL67" i="28"/>
  <c r="AN67" i="28"/>
  <c r="AS67" i="28"/>
  <c r="CT67" i="28"/>
  <c r="CU67" i="28"/>
  <c r="AH78" i="28"/>
  <c r="AJ78" i="28"/>
  <c r="AL78" i="28"/>
  <c r="AN78" i="28"/>
  <c r="AS78" i="28"/>
  <c r="CT78" i="28"/>
  <c r="CU78" i="28"/>
  <c r="AH74" i="28"/>
  <c r="AJ74" i="28"/>
  <c r="AL74" i="28"/>
  <c r="AN74" i="28"/>
  <c r="AS74" i="28"/>
  <c r="CT74" i="28"/>
  <c r="CU74" i="28"/>
  <c r="AH24" i="28"/>
  <c r="AJ24" i="28"/>
  <c r="AL24" i="28"/>
  <c r="AN24" i="28"/>
  <c r="AS24" i="28"/>
  <c r="CT24" i="28"/>
  <c r="AH65" i="28"/>
  <c r="AJ65" i="28"/>
  <c r="AL65" i="28"/>
  <c r="AN65" i="28"/>
  <c r="AS65" i="28"/>
  <c r="CT65" i="28"/>
  <c r="CU65" i="28"/>
  <c r="AH54" i="28"/>
  <c r="AJ54" i="28"/>
  <c r="AL54" i="28"/>
  <c r="AN54" i="28"/>
  <c r="AS54" i="28"/>
  <c r="CT54" i="28"/>
  <c r="CU54" i="28"/>
  <c r="AH77" i="28"/>
  <c r="AJ77" i="28"/>
  <c r="AL77" i="28"/>
  <c r="AN77" i="28"/>
  <c r="AS77" i="28"/>
  <c r="CT77" i="28"/>
  <c r="CU77" i="28"/>
  <c r="AH76" i="28"/>
  <c r="AJ76" i="28"/>
  <c r="AL76" i="28"/>
  <c r="AN76" i="28"/>
  <c r="AS76" i="28"/>
  <c r="CT76" i="28"/>
  <c r="CU76" i="28"/>
  <c r="Q3" i="11"/>
  <c r="P3" i="11"/>
  <c r="P4" i="11"/>
  <c r="Q20" i="11"/>
  <c r="V20" i="11"/>
  <c r="Q19" i="11"/>
  <c r="V19" i="11"/>
  <c r="Z19" i="11"/>
  <c r="P19" i="11"/>
  <c r="P27" i="11"/>
  <c r="L41" i="11"/>
  <c r="M41" i="11"/>
  <c r="L39" i="11"/>
  <c r="M39" i="11"/>
  <c r="L32" i="11"/>
  <c r="M32" i="11"/>
  <c r="L164" i="11"/>
  <c r="M164" i="11"/>
  <c r="L151" i="11"/>
  <c r="M151" i="11"/>
  <c r="L129" i="11"/>
  <c r="M129" i="11"/>
  <c r="L81" i="11"/>
  <c r="M81" i="11"/>
  <c r="L25" i="11"/>
  <c r="M25" i="11"/>
  <c r="L214" i="11"/>
  <c r="M214" i="11"/>
  <c r="L176" i="11"/>
  <c r="M176" i="11"/>
  <c r="L137" i="11"/>
  <c r="M137" i="11"/>
  <c r="L66" i="11"/>
  <c r="M66" i="11"/>
  <c r="L23" i="11"/>
  <c r="M23" i="11"/>
  <c r="L172" i="11"/>
  <c r="M172" i="11"/>
  <c r="L133" i="11"/>
  <c r="M133" i="11"/>
  <c r="L97" i="11"/>
  <c r="M97" i="11"/>
  <c r="L105" i="11"/>
  <c r="M105" i="11"/>
  <c r="L191" i="11"/>
  <c r="M191" i="11"/>
  <c r="L120" i="11"/>
  <c r="M120" i="11"/>
  <c r="L95" i="11"/>
  <c r="M95" i="11"/>
  <c r="L35" i="11"/>
  <c r="M35" i="11"/>
  <c r="L192" i="11"/>
  <c r="M192" i="11"/>
  <c r="L152" i="11"/>
  <c r="M152" i="11"/>
  <c r="L109" i="11"/>
  <c r="M109" i="11"/>
  <c r="L30" i="11"/>
  <c r="M30" i="11"/>
  <c r="L50" i="11"/>
  <c r="M50" i="11"/>
  <c r="L150" i="11"/>
  <c r="M150" i="11"/>
  <c r="L91" i="11"/>
  <c r="M91" i="11"/>
  <c r="L31" i="11"/>
  <c r="M31" i="11"/>
  <c r="L103" i="11"/>
  <c r="M103" i="11"/>
  <c r="L67" i="11"/>
  <c r="M67" i="11"/>
  <c r="L70" i="11"/>
  <c r="M70" i="11"/>
  <c r="L132" i="11"/>
  <c r="M132" i="11"/>
  <c r="L48" i="11"/>
  <c r="M48" i="11"/>
  <c r="L29" i="11"/>
  <c r="M29" i="11"/>
  <c r="L119" i="11"/>
  <c r="M119" i="11"/>
  <c r="L82" i="11"/>
  <c r="M82" i="11"/>
  <c r="L117" i="11"/>
  <c r="M117" i="11"/>
  <c r="L113" i="11"/>
  <c r="M113" i="11"/>
  <c r="L46" i="11"/>
  <c r="M46" i="11"/>
  <c r="L146" i="11"/>
  <c r="M146" i="11"/>
  <c r="L183" i="11"/>
  <c r="M183" i="11"/>
  <c r="L160" i="11"/>
  <c r="M160" i="11"/>
  <c r="L100" i="11"/>
  <c r="M100" i="11"/>
  <c r="L65" i="11"/>
  <c r="M65" i="11"/>
  <c r="L198" i="11"/>
  <c r="M198" i="11"/>
  <c r="L115" i="11"/>
  <c r="M115" i="11"/>
  <c r="L79" i="11"/>
  <c r="M79" i="11"/>
  <c r="L156" i="11"/>
  <c r="M156" i="11"/>
  <c r="L102" i="11"/>
  <c r="M102" i="11"/>
  <c r="L136" i="11"/>
  <c r="M136" i="11"/>
  <c r="L93" i="11"/>
  <c r="M93" i="11"/>
  <c r="L33" i="11"/>
  <c r="M33" i="11"/>
  <c r="L205" i="11"/>
  <c r="M205" i="11"/>
  <c r="L134" i="11"/>
  <c r="M134" i="11"/>
  <c r="L74" i="11"/>
  <c r="M74" i="11"/>
  <c r="L53" i="11"/>
  <c r="M53" i="11"/>
  <c r="L219" i="11"/>
  <c r="M219" i="11"/>
  <c r="L217" i="11"/>
  <c r="M217" i="11"/>
  <c r="L42" i="11"/>
  <c r="M42" i="11"/>
  <c r="L40" i="11"/>
  <c r="M40" i="11"/>
  <c r="L197" i="11"/>
  <c r="M197" i="11"/>
  <c r="L141" i="11"/>
  <c r="M141" i="11"/>
  <c r="L178" i="11"/>
  <c r="M178" i="11"/>
  <c r="L148" i="11"/>
  <c r="M148" i="11"/>
  <c r="L167" i="11"/>
  <c r="M167" i="11"/>
  <c r="L144" i="11"/>
  <c r="M144" i="11"/>
  <c r="L127" i="11"/>
  <c r="M127" i="11"/>
  <c r="L158" i="11"/>
  <c r="M158" i="11"/>
  <c r="L63" i="11"/>
  <c r="M63" i="11"/>
  <c r="L22" i="11"/>
  <c r="M22" i="11"/>
  <c r="L140" i="11"/>
  <c r="M140" i="11"/>
  <c r="L111" i="11"/>
  <c r="M111" i="11"/>
  <c r="L34" i="11"/>
  <c r="M34" i="11"/>
  <c r="L87" i="11"/>
  <c r="M87" i="11"/>
  <c r="L155" i="11"/>
  <c r="M155" i="11"/>
  <c r="L175" i="11"/>
  <c r="M175" i="11"/>
  <c r="L174" i="11"/>
  <c r="M174" i="11"/>
  <c r="L76" i="11"/>
  <c r="M76" i="11"/>
  <c r="L206" i="11"/>
  <c r="M206" i="11"/>
  <c r="L170" i="11"/>
  <c r="M170" i="11"/>
  <c r="L58" i="11"/>
  <c r="M58" i="11"/>
  <c r="L20" i="11"/>
  <c r="M20" i="11"/>
  <c r="L203" i="11"/>
  <c r="M203" i="11"/>
  <c r="L201" i="11"/>
  <c r="M201" i="11"/>
  <c r="L26" i="11"/>
  <c r="M26" i="11"/>
  <c r="L24" i="11"/>
  <c r="M24" i="11"/>
  <c r="L108" i="11"/>
  <c r="M108" i="11"/>
  <c r="L83" i="11"/>
  <c r="M83" i="11"/>
  <c r="L215" i="11"/>
  <c r="M215" i="11"/>
  <c r="L125" i="11"/>
  <c r="M125" i="11"/>
  <c r="L142" i="11"/>
  <c r="M142" i="11"/>
  <c r="L98" i="11"/>
  <c r="M98" i="11"/>
  <c r="L179" i="11"/>
  <c r="M179" i="11"/>
  <c r="L182" i="11"/>
  <c r="M182" i="11"/>
  <c r="L80" i="11"/>
  <c r="M80" i="11"/>
  <c r="L37" i="11"/>
  <c r="M37" i="11"/>
  <c r="L139" i="11"/>
  <c r="M139" i="11"/>
  <c r="L78" i="11"/>
  <c r="M78" i="11"/>
  <c r="L166" i="11"/>
  <c r="M166" i="11"/>
  <c r="L194" i="11"/>
  <c r="M194" i="11"/>
  <c r="L135" i="11"/>
  <c r="M135" i="11"/>
  <c r="L60" i="11"/>
  <c r="M60" i="11"/>
  <c r="L173" i="11"/>
  <c r="M173" i="11"/>
  <c r="L71" i="11"/>
  <c r="M71" i="11"/>
  <c r="L185" i="11"/>
  <c r="M185" i="11"/>
  <c r="L104" i="11"/>
  <c r="M104" i="11"/>
  <c r="L204" i="11"/>
  <c r="M204" i="11"/>
  <c r="L218" i="11"/>
  <c r="M218" i="11"/>
  <c r="L43" i="11"/>
  <c r="M43" i="11"/>
  <c r="L171" i="11"/>
  <c r="M171" i="11"/>
  <c r="L180" i="11"/>
  <c r="M180" i="11"/>
  <c r="L68" i="11"/>
  <c r="M68" i="11"/>
  <c r="L143" i="11"/>
  <c r="M143" i="11"/>
  <c r="L212" i="11"/>
  <c r="M212" i="11"/>
  <c r="L177" i="11"/>
  <c r="M177" i="11"/>
  <c r="L208" i="11"/>
  <c r="M208" i="11"/>
  <c r="L92" i="11"/>
  <c r="M92" i="11"/>
  <c r="L85" i="11"/>
  <c r="M85" i="11"/>
  <c r="L107" i="11"/>
  <c r="M107" i="11"/>
  <c r="L86" i="11"/>
  <c r="M86" i="11"/>
  <c r="L199" i="11"/>
  <c r="M199" i="11"/>
  <c r="L101" i="11"/>
  <c r="M101" i="11"/>
  <c r="L181" i="11"/>
  <c r="M181" i="11"/>
  <c r="L186" i="11"/>
  <c r="M186" i="11"/>
  <c r="L121" i="11"/>
  <c r="M121" i="11"/>
  <c r="L128" i="11"/>
  <c r="M128" i="11"/>
  <c r="L131" i="11"/>
  <c r="M131" i="11"/>
  <c r="L96" i="11"/>
  <c r="M96" i="11"/>
  <c r="L64" i="11"/>
  <c r="M64" i="11"/>
  <c r="L21" i="11"/>
  <c r="M21" i="11"/>
  <c r="L209" i="11"/>
  <c r="M209" i="11"/>
  <c r="L168" i="11"/>
  <c r="M168" i="11"/>
  <c r="L62" i="11"/>
  <c r="M62" i="11"/>
  <c r="L69" i="11"/>
  <c r="M69" i="11"/>
  <c r="L187" i="11"/>
  <c r="M187" i="11"/>
  <c r="L118" i="11"/>
  <c r="M118" i="11"/>
  <c r="L73" i="11"/>
  <c r="M73" i="11"/>
  <c r="L189" i="11"/>
  <c r="M189" i="11"/>
  <c r="L116" i="11"/>
  <c r="M116" i="11"/>
  <c r="L52" i="11"/>
  <c r="M52" i="11"/>
  <c r="L169" i="11"/>
  <c r="M169" i="11"/>
  <c r="L88" i="11"/>
  <c r="M88" i="11"/>
  <c r="L196" i="11"/>
  <c r="M196" i="11"/>
  <c r="L202" i="11"/>
  <c r="M202" i="11"/>
  <c r="L27" i="11"/>
  <c r="M27" i="11"/>
  <c r="L188" i="11"/>
  <c r="M188" i="11"/>
  <c r="L147" i="11"/>
  <c r="M147" i="11"/>
  <c r="L216" i="11"/>
  <c r="M216" i="11"/>
  <c r="L161" i="11"/>
  <c r="M161" i="11"/>
  <c r="L126" i="11"/>
  <c r="M126" i="11"/>
  <c r="L38" i="11"/>
  <c r="M38" i="11"/>
  <c r="L89" i="11"/>
  <c r="M89" i="11"/>
  <c r="L165" i="11"/>
  <c r="M165" i="11"/>
  <c r="L99" i="11"/>
  <c r="M99" i="11"/>
  <c r="L211" i="11"/>
  <c r="M211" i="11"/>
  <c r="L123" i="11"/>
  <c r="M123" i="11"/>
  <c r="L77" i="11"/>
  <c r="M77" i="11"/>
  <c r="L49" i="11"/>
  <c r="M49" i="11"/>
  <c r="L193" i="11"/>
  <c r="M193" i="11"/>
  <c r="L154" i="11"/>
  <c r="M154" i="11"/>
  <c r="L75" i="11"/>
  <c r="M75" i="11"/>
  <c r="L57" i="11"/>
  <c r="M57" i="11"/>
  <c r="L106" i="11"/>
  <c r="M106" i="11"/>
  <c r="L44" i="11"/>
  <c r="M44" i="11"/>
  <c r="L190" i="11"/>
  <c r="M190" i="11"/>
  <c r="L72" i="11"/>
  <c r="M72" i="11"/>
  <c r="L130" i="11"/>
  <c r="M130" i="11"/>
  <c r="L112" i="11"/>
  <c r="M112" i="11"/>
  <c r="L55" i="11"/>
  <c r="M55" i="11"/>
  <c r="L149" i="11"/>
  <c r="M149" i="11"/>
  <c r="L47" i="11"/>
  <c r="M47" i="11"/>
  <c r="L200" i="11"/>
  <c r="M200" i="11"/>
  <c r="L145" i="11"/>
  <c r="M145" i="11"/>
  <c r="L110" i="11"/>
  <c r="M110" i="11"/>
  <c r="L84" i="11"/>
  <c r="M84" i="11"/>
  <c r="L213" i="11"/>
  <c r="M213" i="11"/>
  <c r="L159" i="11"/>
  <c r="M159" i="11"/>
  <c r="L124" i="11"/>
  <c r="M124" i="11"/>
  <c r="L36" i="11"/>
  <c r="M36" i="11"/>
  <c r="L195" i="11"/>
  <c r="M195" i="11"/>
  <c r="L157" i="11"/>
  <c r="M157" i="11"/>
  <c r="L122" i="11"/>
  <c r="M122" i="11"/>
  <c r="L61" i="11"/>
  <c r="M61" i="11"/>
  <c r="L51" i="11"/>
  <c r="M51" i="11"/>
  <c r="L210" i="11"/>
  <c r="M210" i="11"/>
  <c r="L138" i="11"/>
  <c r="M138" i="11"/>
  <c r="L94" i="11"/>
  <c r="M94" i="11"/>
  <c r="L59" i="11"/>
  <c r="M59" i="11"/>
  <c r="L207" i="11"/>
  <c r="M207" i="11"/>
  <c r="L153" i="11"/>
  <c r="M153" i="11"/>
  <c r="L54" i="11"/>
  <c r="M54" i="11"/>
  <c r="L90" i="11"/>
  <c r="M90" i="11"/>
  <c r="L28" i="11"/>
  <c r="M28" i="11"/>
  <c r="L163" i="11"/>
  <c r="M163" i="11"/>
  <c r="L56" i="11"/>
  <c r="M56" i="11"/>
  <c r="L114" i="11"/>
  <c r="M114" i="11"/>
  <c r="L45" i="11"/>
  <c r="M45" i="11"/>
  <c r="L162" i="11"/>
  <c r="M162" i="11"/>
  <c r="L184" i="11"/>
  <c r="M184" i="11"/>
  <c r="M19" i="11"/>
  <c r="E19" i="11"/>
  <c r="R23" i="31"/>
  <c r="P219" i="11"/>
  <c r="P217" i="11"/>
  <c r="P215" i="11"/>
  <c r="P213" i="11"/>
  <c r="P211" i="11"/>
  <c r="P209" i="11"/>
  <c r="P207" i="11"/>
  <c r="P205" i="11"/>
  <c r="P203" i="11"/>
  <c r="P201" i="11"/>
  <c r="P199" i="11"/>
  <c r="P218" i="11"/>
  <c r="P216" i="11"/>
  <c r="P214" i="11"/>
  <c r="P212" i="11"/>
  <c r="P210" i="11"/>
  <c r="P208" i="11"/>
  <c r="P206" i="11"/>
  <c r="P204" i="11"/>
  <c r="P193" i="11"/>
  <c r="P191" i="11"/>
  <c r="P197" i="11"/>
  <c r="P198" i="11"/>
  <c r="P185" i="11"/>
  <c r="P183" i="11"/>
  <c r="P181" i="11"/>
  <c r="P179" i="11"/>
  <c r="P177" i="11"/>
  <c r="P175" i="11"/>
  <c r="P173" i="11"/>
  <c r="P171" i="11"/>
  <c r="P169" i="11"/>
  <c r="P167" i="11"/>
  <c r="P165" i="11"/>
  <c r="P163" i="11"/>
  <c r="P202" i="11"/>
  <c r="P196" i="11"/>
  <c r="P195" i="11"/>
  <c r="P192" i="11"/>
  <c r="P188" i="11"/>
  <c r="P200" i="11"/>
  <c r="P190" i="11"/>
  <c r="P187" i="11"/>
  <c r="P184" i="11"/>
  <c r="P182" i="11"/>
  <c r="P180" i="11"/>
  <c r="P178" i="11"/>
  <c r="P176" i="11"/>
  <c r="P174" i="11"/>
  <c r="P172" i="11"/>
  <c r="P170" i="11"/>
  <c r="P168" i="11"/>
  <c r="P166" i="11"/>
  <c r="P164" i="11"/>
  <c r="P161" i="11"/>
  <c r="P159" i="11"/>
  <c r="P157" i="11"/>
  <c r="P155" i="11"/>
  <c r="P153" i="11"/>
  <c r="P151" i="11"/>
  <c r="P149" i="11"/>
  <c r="P147" i="11"/>
  <c r="P145" i="11"/>
  <c r="P143" i="11"/>
  <c r="P141" i="11"/>
  <c r="P139" i="11"/>
  <c r="P137" i="11"/>
  <c r="P186" i="11"/>
  <c r="P194" i="11"/>
  <c r="P189" i="11"/>
  <c r="P162" i="11"/>
  <c r="P160" i="11"/>
  <c r="P158" i="11"/>
  <c r="P156" i="11"/>
  <c r="P154" i="11"/>
  <c r="P152" i="11"/>
  <c r="P150" i="11"/>
  <c r="P144" i="11"/>
  <c r="P132" i="11"/>
  <c r="P148" i="11"/>
  <c r="P138" i="11"/>
  <c r="P131" i="11"/>
  <c r="P142" i="11"/>
  <c r="P130" i="11"/>
  <c r="P128" i="11"/>
  <c r="P126" i="11"/>
  <c r="P124" i="11"/>
  <c r="P122" i="11"/>
  <c r="P146" i="11"/>
  <c r="P135" i="11"/>
  <c r="P134" i="11"/>
  <c r="P110" i="11"/>
  <c r="P109" i="11"/>
  <c r="P140" i="11"/>
  <c r="P123" i="11"/>
  <c r="P127" i="11"/>
  <c r="P121" i="11"/>
  <c r="P117" i="11"/>
  <c r="P113" i="11"/>
  <c r="P136" i="11"/>
  <c r="P133" i="11"/>
  <c r="P120" i="11"/>
  <c r="P116" i="11"/>
  <c r="P112" i="11"/>
  <c r="P106" i="11"/>
  <c r="P104" i="11"/>
  <c r="P102" i="11"/>
  <c r="P100" i="11"/>
  <c r="P98" i="11"/>
  <c r="P96" i="11"/>
  <c r="P94" i="11"/>
  <c r="P92" i="11"/>
  <c r="P90" i="11"/>
  <c r="P88" i="11"/>
  <c r="P125" i="11"/>
  <c r="P119" i="11"/>
  <c r="P115" i="11"/>
  <c r="P111" i="11"/>
  <c r="P108" i="11"/>
  <c r="P101" i="11"/>
  <c r="P93" i="11"/>
  <c r="P84" i="11"/>
  <c r="P82" i="11"/>
  <c r="P80" i="11"/>
  <c r="P78" i="11"/>
  <c r="P76" i="11"/>
  <c r="P74" i="11"/>
  <c r="P72" i="11"/>
  <c r="P70" i="11"/>
  <c r="P68" i="11"/>
  <c r="P66" i="11"/>
  <c r="P64" i="11"/>
  <c r="P62" i="11"/>
  <c r="P60" i="11"/>
  <c r="P129" i="11"/>
  <c r="P103" i="11"/>
  <c r="P95" i="11"/>
  <c r="P87" i="11"/>
  <c r="P86" i="11"/>
  <c r="P105" i="11"/>
  <c r="P97" i="11"/>
  <c r="P89" i="11"/>
  <c r="P118" i="11"/>
  <c r="P114" i="11"/>
  <c r="P85" i="11"/>
  <c r="P83" i="11"/>
  <c r="P81" i="11"/>
  <c r="P79" i="11"/>
  <c r="P77" i="11"/>
  <c r="P75" i="11"/>
  <c r="P73" i="11"/>
  <c r="P71" i="11"/>
  <c r="P69" i="11"/>
  <c r="P67" i="11"/>
  <c r="P65" i="11"/>
  <c r="P63" i="11"/>
  <c r="P61" i="11"/>
  <c r="P59" i="11"/>
  <c r="P107" i="11"/>
  <c r="P54" i="11"/>
  <c r="P52" i="11"/>
  <c r="P50" i="11"/>
  <c r="P48" i="11"/>
  <c r="P99" i="11"/>
  <c r="P57" i="11"/>
  <c r="P46" i="11"/>
  <c r="P44" i="11"/>
  <c r="P42" i="11"/>
  <c r="P40" i="11"/>
  <c r="P38" i="11"/>
  <c r="P36" i="11"/>
  <c r="P34" i="11"/>
  <c r="P32" i="11"/>
  <c r="P30" i="11"/>
  <c r="P28" i="11"/>
  <c r="P26" i="11"/>
  <c r="P24" i="11"/>
  <c r="P58" i="11"/>
  <c r="P56" i="11"/>
  <c r="P55" i="11"/>
  <c r="P53" i="11"/>
  <c r="P51" i="11"/>
  <c r="P49" i="11"/>
  <c r="P47" i="11"/>
  <c r="P45" i="11"/>
  <c r="P43" i="11"/>
  <c r="P41" i="11"/>
  <c r="P39" i="11"/>
  <c r="P37" i="11"/>
  <c r="P35" i="11"/>
  <c r="P33" i="11"/>
  <c r="P31" i="11"/>
  <c r="P29" i="11"/>
  <c r="P25" i="11"/>
  <c r="P23" i="11"/>
  <c r="P21" i="11"/>
  <c r="T8" i="11"/>
  <c r="P91" i="11"/>
  <c r="P22" i="11"/>
  <c r="S8" i="11"/>
  <c r="P20" i="11"/>
  <c r="R8" i="11"/>
  <c r="Q215" i="11"/>
  <c r="V215" i="11"/>
  <c r="Q199" i="11"/>
  <c r="V199" i="11"/>
  <c r="Q212" i="11"/>
  <c r="V212" i="11"/>
  <c r="Q175" i="11"/>
  <c r="V175" i="11"/>
  <c r="Q196" i="11"/>
  <c r="V196" i="11"/>
  <c r="Q155" i="11"/>
  <c r="V155" i="11"/>
  <c r="Q139" i="11"/>
  <c r="V139" i="11"/>
  <c r="Q148" i="11"/>
  <c r="V148" i="11"/>
  <c r="Q132" i="11"/>
  <c r="V132" i="11"/>
  <c r="Q128" i="11"/>
  <c r="V128" i="11"/>
  <c r="Q112" i="11"/>
  <c r="V112" i="11"/>
  <c r="Q127" i="11"/>
  <c r="V127" i="11"/>
  <c r="Q133" i="11"/>
  <c r="V133" i="11"/>
  <c r="Q94" i="11"/>
  <c r="V94" i="11"/>
  <c r="Q129" i="11"/>
  <c r="V129" i="11"/>
  <c r="Q93" i="11"/>
  <c r="V93" i="11"/>
  <c r="Q72" i="11"/>
  <c r="V72" i="11"/>
  <c r="Q56" i="11"/>
  <c r="V56" i="11"/>
  <c r="Q75" i="11"/>
  <c r="V75" i="11"/>
  <c r="Q59" i="11"/>
  <c r="V59" i="11"/>
  <c r="Q38" i="11"/>
  <c r="V38" i="11"/>
  <c r="Q43" i="11"/>
  <c r="V43" i="11"/>
  <c r="Q27" i="11"/>
  <c r="V27" i="11"/>
  <c r="Q22" i="11"/>
  <c r="V22" i="11"/>
  <c r="Q52" i="11"/>
  <c r="V52" i="11"/>
  <c r="Q34" i="11"/>
  <c r="V34" i="11"/>
  <c r="Q23" i="11"/>
  <c r="V23" i="11"/>
  <c r="Q213" i="11"/>
  <c r="V213" i="11"/>
  <c r="Q197" i="11"/>
  <c r="V197" i="11"/>
  <c r="Q210" i="11"/>
  <c r="V210" i="11"/>
  <c r="Q173" i="11"/>
  <c r="V173" i="11"/>
  <c r="Q153" i="11"/>
  <c r="V153" i="11"/>
  <c r="Q137" i="11"/>
  <c r="V137" i="11"/>
  <c r="Q162" i="11"/>
  <c r="V162" i="11"/>
  <c r="Q146" i="11"/>
  <c r="V146" i="11"/>
  <c r="Q130" i="11"/>
  <c r="V130" i="11"/>
  <c r="Q184" i="11"/>
  <c r="V184" i="11"/>
  <c r="Q126" i="11"/>
  <c r="V126" i="11"/>
  <c r="Q110" i="11"/>
  <c r="V110" i="11"/>
  <c r="Q168" i="11"/>
  <c r="V168" i="11"/>
  <c r="Q123" i="11"/>
  <c r="V123" i="11"/>
  <c r="Q121" i="11"/>
  <c r="V121" i="11"/>
  <c r="Q92" i="11"/>
  <c r="V92" i="11"/>
  <c r="Q119" i="11"/>
  <c r="V119" i="11"/>
  <c r="Q107" i="11"/>
  <c r="V107" i="11"/>
  <c r="Q91" i="11"/>
  <c r="V91" i="11"/>
  <c r="Q109" i="11"/>
  <c r="V109" i="11"/>
  <c r="Q70" i="11"/>
  <c r="V70" i="11"/>
  <c r="Q86" i="11"/>
  <c r="V86" i="11"/>
  <c r="Q73" i="11"/>
  <c r="V73" i="11"/>
  <c r="Q57" i="11"/>
  <c r="V57" i="11"/>
  <c r="Q54" i="11"/>
  <c r="V54" i="11"/>
  <c r="Q36" i="11"/>
  <c r="V36" i="11"/>
  <c r="Q41" i="11"/>
  <c r="V41" i="11"/>
  <c r="Q25" i="11"/>
  <c r="V25" i="11"/>
  <c r="R9" i="11"/>
  <c r="R14" i="11"/>
  <c r="T9" i="11"/>
  <c r="T14" i="11"/>
  <c r="Q211" i="11"/>
  <c r="V211" i="11"/>
  <c r="Q195" i="11"/>
  <c r="V195" i="11"/>
  <c r="Q208" i="11"/>
  <c r="V208" i="11"/>
  <c r="Q171" i="11"/>
  <c r="V171" i="11"/>
  <c r="Q151" i="11"/>
  <c r="V151" i="11"/>
  <c r="Q160" i="11"/>
  <c r="V160" i="11"/>
  <c r="Q144" i="11"/>
  <c r="V144" i="11"/>
  <c r="Q191" i="11"/>
  <c r="V191" i="11"/>
  <c r="Q124" i="11"/>
  <c r="V124" i="11"/>
  <c r="Q108" i="11"/>
  <c r="V108" i="11"/>
  <c r="Q172" i="11"/>
  <c r="V172" i="11"/>
  <c r="Q117" i="11"/>
  <c r="V117" i="11"/>
  <c r="Q106" i="11"/>
  <c r="V106" i="11"/>
  <c r="Q90" i="11"/>
  <c r="V90" i="11"/>
  <c r="Q115" i="11"/>
  <c r="V115" i="11"/>
  <c r="Q105" i="11"/>
  <c r="V105" i="11"/>
  <c r="Q89" i="11"/>
  <c r="V89" i="11"/>
  <c r="Q84" i="11"/>
  <c r="V84" i="11"/>
  <c r="Q68" i="11"/>
  <c r="V68" i="11"/>
  <c r="Q176" i="11"/>
  <c r="V176" i="11"/>
  <c r="Q71" i="11"/>
  <c r="V71" i="11"/>
  <c r="Q39" i="11"/>
  <c r="V39" i="11"/>
  <c r="Q157" i="11"/>
  <c r="V157" i="11"/>
  <c r="Q150" i="11"/>
  <c r="V150" i="11"/>
  <c r="Q209" i="11"/>
  <c r="V209" i="11"/>
  <c r="Q193" i="11"/>
  <c r="V193" i="11"/>
  <c r="Q206" i="11"/>
  <c r="V206" i="11"/>
  <c r="Q185" i="11"/>
  <c r="V185" i="11"/>
  <c r="Q169" i="11"/>
  <c r="V169" i="11"/>
  <c r="Q192" i="11"/>
  <c r="V192" i="11"/>
  <c r="Q149" i="11"/>
  <c r="V149" i="11"/>
  <c r="Q182" i="11"/>
  <c r="V182" i="11"/>
  <c r="Q158" i="11"/>
  <c r="V158" i="11"/>
  <c r="Q142" i="11"/>
  <c r="V142" i="11"/>
  <c r="Q131" i="11"/>
  <c r="V131" i="11"/>
  <c r="Q122" i="11"/>
  <c r="V122" i="11"/>
  <c r="Q187" i="11"/>
  <c r="V187" i="11"/>
  <c r="Q113" i="11"/>
  <c r="V113" i="11"/>
  <c r="Q104" i="11"/>
  <c r="V104" i="11"/>
  <c r="Q88" i="11"/>
  <c r="V88" i="11"/>
  <c r="Q111" i="11"/>
  <c r="V111" i="11"/>
  <c r="Q103" i="11"/>
  <c r="V103" i="11"/>
  <c r="Q87" i="11"/>
  <c r="V87" i="11"/>
  <c r="Q82" i="11"/>
  <c r="V82" i="11"/>
  <c r="Q66" i="11"/>
  <c r="V66" i="11"/>
  <c r="Q85" i="11"/>
  <c r="V85" i="11"/>
  <c r="Q69" i="11"/>
  <c r="V69" i="11"/>
  <c r="Q50" i="11"/>
  <c r="V50" i="11"/>
  <c r="Q32" i="11"/>
  <c r="V32" i="11"/>
  <c r="Q37" i="11"/>
  <c r="V37" i="11"/>
  <c r="Q21" i="11"/>
  <c r="V21" i="11"/>
  <c r="Q53" i="11"/>
  <c r="V53" i="11"/>
  <c r="Q217" i="11"/>
  <c r="V217" i="11"/>
  <c r="Q134" i="11"/>
  <c r="V134" i="11"/>
  <c r="Q114" i="11"/>
  <c r="V114" i="11"/>
  <c r="Q207" i="11"/>
  <c r="V207" i="11"/>
  <c r="Q204" i="11"/>
  <c r="V204" i="11"/>
  <c r="Q183" i="11"/>
  <c r="V183" i="11"/>
  <c r="Q167" i="11"/>
  <c r="V167" i="11"/>
  <c r="Q188" i="11"/>
  <c r="V188" i="11"/>
  <c r="Q194" i="11"/>
  <c r="V194" i="11"/>
  <c r="Q147" i="11"/>
  <c r="V147" i="11"/>
  <c r="Q178" i="11"/>
  <c r="V178" i="11"/>
  <c r="Q156" i="11"/>
  <c r="V156" i="11"/>
  <c r="Q140" i="11"/>
  <c r="V140" i="11"/>
  <c r="Q120" i="11"/>
  <c r="V120" i="11"/>
  <c r="Q164" i="11"/>
  <c r="V164" i="11"/>
  <c r="Q102" i="11"/>
  <c r="V102" i="11"/>
  <c r="Q101" i="11"/>
  <c r="V101" i="11"/>
  <c r="Q80" i="11"/>
  <c r="V80" i="11"/>
  <c r="Q64" i="11"/>
  <c r="V64" i="11"/>
  <c r="Q83" i="11"/>
  <c r="V83" i="11"/>
  <c r="Q67" i="11"/>
  <c r="V67" i="11"/>
  <c r="Q48" i="11"/>
  <c r="V48" i="11"/>
  <c r="Q46" i="11"/>
  <c r="V46" i="11"/>
  <c r="Q30" i="11"/>
  <c r="V30" i="11"/>
  <c r="Q35" i="11"/>
  <c r="V35" i="11"/>
  <c r="Q51" i="11"/>
  <c r="V51" i="11"/>
  <c r="Q201" i="11"/>
  <c r="V201" i="11"/>
  <c r="Q214" i="11"/>
  <c r="V214" i="11"/>
  <c r="Q166" i="11"/>
  <c r="V166" i="11"/>
  <c r="Q205" i="11"/>
  <c r="V205" i="11"/>
  <c r="Q218" i="11"/>
  <c r="V218" i="11"/>
  <c r="Q202" i="11"/>
  <c r="V202" i="11"/>
  <c r="Q181" i="11"/>
  <c r="V181" i="11"/>
  <c r="Q165" i="11"/>
  <c r="V165" i="11"/>
  <c r="Q189" i="11"/>
  <c r="V189" i="11"/>
  <c r="Q186" i="11"/>
  <c r="V186" i="11"/>
  <c r="Q161" i="11"/>
  <c r="V161" i="11"/>
  <c r="Q145" i="11"/>
  <c r="V145" i="11"/>
  <c r="Q174" i="11"/>
  <c r="V174" i="11"/>
  <c r="Q154" i="11"/>
  <c r="V154" i="11"/>
  <c r="Q138" i="11"/>
  <c r="V138" i="11"/>
  <c r="Q118" i="11"/>
  <c r="V118" i="11"/>
  <c r="Q100" i="11"/>
  <c r="V100" i="11"/>
  <c r="Q99" i="11"/>
  <c r="V99" i="11"/>
  <c r="Q78" i="11"/>
  <c r="V78" i="11"/>
  <c r="Q62" i="11"/>
  <c r="V62" i="11"/>
  <c r="Q81" i="11"/>
  <c r="V81" i="11"/>
  <c r="Q65" i="11"/>
  <c r="V65" i="11"/>
  <c r="Q44" i="11"/>
  <c r="V44" i="11"/>
  <c r="Q28" i="11"/>
  <c r="V28" i="11"/>
  <c r="Q33" i="11"/>
  <c r="V33" i="11"/>
  <c r="S9" i="11"/>
  <c r="S14" i="11"/>
  <c r="Q49" i="11"/>
  <c r="V49" i="11"/>
  <c r="Q198" i="11"/>
  <c r="V198" i="11"/>
  <c r="Q177" i="11"/>
  <c r="V177" i="11"/>
  <c r="Q219" i="11"/>
  <c r="V219" i="11"/>
  <c r="Q203" i="11"/>
  <c r="V203" i="11"/>
  <c r="Q216" i="11"/>
  <c r="V216" i="11"/>
  <c r="Q200" i="11"/>
  <c r="V200" i="11"/>
  <c r="Q179" i="11"/>
  <c r="V179" i="11"/>
  <c r="Q163" i="11"/>
  <c r="V163" i="11"/>
  <c r="Q190" i="11"/>
  <c r="V190" i="11"/>
  <c r="Q159" i="11"/>
  <c r="V159" i="11"/>
  <c r="Q143" i="11"/>
  <c r="V143" i="11"/>
  <c r="Q170" i="11"/>
  <c r="V170" i="11"/>
  <c r="Q152" i="11"/>
  <c r="V152" i="11"/>
  <c r="Q136" i="11"/>
  <c r="V136" i="11"/>
  <c r="Q116" i="11"/>
  <c r="V116" i="11"/>
  <c r="Q135" i="11"/>
  <c r="V135" i="11"/>
  <c r="Q98" i="11"/>
  <c r="V98" i="11"/>
  <c r="Q97" i="11"/>
  <c r="V97" i="11"/>
  <c r="Q76" i="11"/>
  <c r="V76" i="11"/>
  <c r="Q60" i="11"/>
  <c r="V60" i="11"/>
  <c r="Q79" i="11"/>
  <c r="V79" i="11"/>
  <c r="Q63" i="11"/>
  <c r="V63" i="11"/>
  <c r="Q42" i="11"/>
  <c r="V42" i="11"/>
  <c r="Q26" i="11"/>
  <c r="V26" i="11"/>
  <c r="Q47" i="11"/>
  <c r="V47" i="11"/>
  <c r="Q31" i="11"/>
  <c r="V31" i="11"/>
  <c r="Q141" i="11"/>
  <c r="V141" i="11"/>
  <c r="Q95" i="11"/>
  <c r="V95" i="11"/>
  <c r="Q40" i="11"/>
  <c r="V40" i="11"/>
  <c r="Q180" i="11"/>
  <c r="V180" i="11"/>
  <c r="Q77" i="11"/>
  <c r="V77" i="11"/>
  <c r="Q24" i="11"/>
  <c r="V24" i="11"/>
  <c r="Q61" i="11"/>
  <c r="V61" i="11"/>
  <c r="Q55" i="11"/>
  <c r="V55" i="11"/>
  <c r="Q74" i="11"/>
  <c r="V74" i="11"/>
  <c r="Q29" i="11"/>
  <c r="V29" i="11"/>
  <c r="Q96" i="11"/>
  <c r="V96" i="11"/>
  <c r="Q58" i="11"/>
  <c r="V58" i="11"/>
  <c r="Q125" i="11"/>
  <c r="V125" i="11"/>
  <c r="Q45" i="11"/>
  <c r="V45" i="11"/>
  <c r="W177" i="11"/>
  <c r="W182" i="11"/>
  <c r="W155" i="11"/>
  <c r="W109" i="11"/>
  <c r="W112" i="11"/>
  <c r="W32" i="11"/>
  <c r="AC4" i="11"/>
  <c r="K36" i="12"/>
  <c r="W28" i="11"/>
  <c r="W92" i="11"/>
  <c r="W29" i="11"/>
  <c r="W63" i="11"/>
  <c r="W67" i="11"/>
  <c r="W205" i="11"/>
  <c r="W189" i="11"/>
  <c r="W95" i="11"/>
  <c r="W77" i="11"/>
  <c r="W192" i="11"/>
  <c r="W139" i="11"/>
  <c r="W160" i="11"/>
  <c r="W125" i="11"/>
  <c r="W128" i="11"/>
  <c r="W58" i="11"/>
  <c r="W45" i="11"/>
  <c r="W69" i="11"/>
  <c r="AF4" i="11"/>
  <c r="W208" i="11"/>
  <c r="W144" i="11"/>
  <c r="W74" i="11"/>
  <c r="W25" i="11"/>
  <c r="W204" i="11"/>
  <c r="W188" i="11"/>
  <c r="W217" i="11"/>
  <c r="W201" i="11"/>
  <c r="W173" i="11"/>
  <c r="W174" i="11"/>
  <c r="W151" i="11"/>
  <c r="W180" i="11"/>
  <c r="W156" i="11"/>
  <c r="W140" i="11"/>
  <c r="W121" i="11"/>
  <c r="W132" i="11"/>
  <c r="W124" i="11"/>
  <c r="W130" i="11"/>
  <c r="W91" i="11"/>
  <c r="W108" i="11"/>
  <c r="W104" i="11"/>
  <c r="W88" i="11"/>
  <c r="W70" i="11"/>
  <c r="W41" i="11"/>
  <c r="W59" i="11"/>
  <c r="W44" i="11"/>
  <c r="W30" i="11"/>
  <c r="W106" i="11"/>
  <c r="W184" i="11"/>
  <c r="W190" i="11"/>
  <c r="W76" i="11"/>
  <c r="W146" i="11"/>
  <c r="W194" i="11"/>
  <c r="W62" i="11"/>
  <c r="W164" i="11"/>
  <c r="W212" i="11"/>
  <c r="W57" i="11"/>
  <c r="W150" i="11"/>
  <c r="W211" i="11"/>
  <c r="W21" i="11"/>
  <c r="W120" i="11"/>
  <c r="W185" i="11"/>
  <c r="W42" i="11"/>
  <c r="W102" i="11"/>
  <c r="W176" i="11"/>
  <c r="W48" i="11"/>
  <c r="W72" i="11"/>
  <c r="W111" i="11"/>
  <c r="W209" i="11"/>
  <c r="W87" i="11"/>
  <c r="W138" i="11"/>
  <c r="W85" i="11"/>
  <c r="W60" i="11"/>
  <c r="W207" i="11"/>
  <c r="W196" i="11"/>
  <c r="W195" i="11"/>
  <c r="W103" i="11"/>
  <c r="W86" i="11"/>
  <c r="W46" i="11"/>
  <c r="W93" i="11"/>
  <c r="W137" i="11"/>
  <c r="W206" i="11"/>
  <c r="W94" i="11"/>
  <c r="W162" i="11"/>
  <c r="W210" i="11"/>
  <c r="W78" i="11"/>
  <c r="W143" i="11"/>
  <c r="W65" i="11"/>
  <c r="W64" i="11"/>
  <c r="W168" i="11"/>
  <c r="W198" i="11"/>
  <c r="W37" i="11"/>
  <c r="W117" i="11"/>
  <c r="W197" i="11"/>
  <c r="W54" i="11"/>
  <c r="W107" i="11"/>
  <c r="W149" i="11"/>
  <c r="W163" i="11"/>
  <c r="W47" i="11"/>
  <c r="W19" i="11"/>
  <c r="W53" i="11"/>
  <c r="W219" i="11"/>
  <c r="W35" i="11"/>
  <c r="W154" i="11"/>
  <c r="W61" i="11"/>
  <c r="W110" i="11"/>
  <c r="W153" i="11"/>
  <c r="W83" i="11"/>
  <c r="W134" i="11"/>
  <c r="W141" i="11"/>
  <c r="W20" i="11"/>
  <c r="W96" i="11"/>
  <c r="W159" i="11"/>
  <c r="W49" i="11"/>
  <c r="W80" i="11"/>
  <c r="W145" i="11"/>
  <c r="W214" i="11"/>
  <c r="W71" i="11"/>
  <c r="W136" i="11"/>
  <c r="W213" i="11"/>
  <c r="W75" i="11"/>
  <c r="W89" i="11"/>
  <c r="W170" i="11"/>
  <c r="W114" i="11"/>
  <c r="W142" i="11"/>
  <c r="W191" i="11"/>
  <c r="W115" i="11"/>
  <c r="W166" i="11"/>
  <c r="W202" i="11"/>
  <c r="W158" i="11"/>
  <c r="W127" i="11"/>
  <c r="W148" i="11"/>
  <c r="W135" i="11"/>
  <c r="W52" i="11"/>
  <c r="W169" i="11"/>
  <c r="W27" i="11"/>
  <c r="W126" i="11"/>
  <c r="W178" i="11"/>
  <c r="W34" i="11"/>
  <c r="W97" i="11"/>
  <c r="W157" i="11"/>
  <c r="W36" i="11"/>
  <c r="W99" i="11"/>
  <c r="W165" i="11"/>
  <c r="W22" i="11"/>
  <c r="W98" i="11"/>
  <c r="W161" i="11"/>
  <c r="W81" i="11"/>
  <c r="W66" i="11"/>
  <c r="W152" i="11"/>
  <c r="W200" i="11"/>
  <c r="W23" i="11"/>
  <c r="W105" i="11"/>
  <c r="W171" i="11"/>
  <c r="W79" i="11"/>
  <c r="AD4" i="11"/>
  <c r="W203" i="11"/>
  <c r="W33" i="11"/>
  <c r="W40" i="11"/>
  <c r="W84" i="11"/>
  <c r="W43" i="11"/>
  <c r="W133" i="11"/>
  <c r="W175" i="11"/>
  <c r="W116" i="11"/>
  <c r="W181" i="11"/>
  <c r="W38" i="11"/>
  <c r="W101" i="11"/>
  <c r="W167" i="11"/>
  <c r="W51" i="11"/>
  <c r="W82" i="11"/>
  <c r="W172" i="11"/>
  <c r="W216" i="11"/>
  <c r="W39" i="11"/>
  <c r="W122" i="11"/>
  <c r="W199" i="11"/>
  <c r="W129" i="11"/>
  <c r="W218" i="11"/>
  <c r="W56" i="11"/>
  <c r="W123" i="11"/>
  <c r="W187" i="11"/>
  <c r="W31" i="11"/>
  <c r="W131" i="11"/>
  <c r="W179" i="11"/>
  <c r="W73" i="11"/>
  <c r="W113" i="11"/>
  <c r="W193" i="11"/>
  <c r="W50" i="11"/>
  <c r="W118" i="11"/>
  <c r="W183" i="11"/>
  <c r="W24" i="11"/>
  <c r="W100" i="11"/>
  <c r="W147" i="11"/>
  <c r="AE4" i="11"/>
  <c r="K38" i="12"/>
  <c r="W68" i="11"/>
  <c r="W119" i="11"/>
  <c r="W215" i="11"/>
  <c r="W186" i="11"/>
  <c r="W90" i="11"/>
  <c r="W55" i="11"/>
  <c r="W26" i="11"/>
  <c r="EM18" i="28"/>
  <c r="R18" i="31"/>
  <c r="AZ4" i="28"/>
  <c r="BE4" i="28"/>
  <c r="DF4" i="28"/>
  <c r="DG4" i="28"/>
  <c r="DI4" i="28"/>
  <c r="AB4" i="28"/>
  <c r="AG4" i="28"/>
  <c r="CH4" i="28"/>
  <c r="CI4" i="28"/>
  <c r="CK4" i="28"/>
  <c r="DC4" i="28"/>
  <c r="N4" i="31"/>
  <c r="AF108" i="28"/>
  <c r="CF108" i="28"/>
  <c r="CG108" i="28"/>
  <c r="CJ108" i="28"/>
  <c r="CL108" i="28"/>
  <c r="EV108" i="28"/>
  <c r="F108" i="31"/>
  <c r="L108" i="31"/>
  <c r="BK18" i="28"/>
  <c r="AA39" i="28"/>
  <c r="BK6" i="28"/>
  <c r="BM6" i="28"/>
  <c r="AB6" i="28"/>
  <c r="AG6" i="28"/>
  <c r="CH6" i="28"/>
  <c r="CI6" i="28"/>
  <c r="CK6" i="28"/>
  <c r="DC6" i="28"/>
  <c r="N6" i="31"/>
  <c r="AY49" i="28"/>
  <c r="BA49" i="28"/>
  <c r="BX6" i="28"/>
  <c r="CC6" i="28"/>
  <c r="ED6" i="28"/>
  <c r="EE6" i="28"/>
  <c r="EG6" i="28"/>
  <c r="BW25" i="28"/>
  <c r="BY25" i="28"/>
  <c r="EM6" i="28"/>
  <c r="R6" i="31"/>
  <c r="BW39" i="28"/>
  <c r="BW30" i="28"/>
  <c r="BY30" i="28"/>
  <c r="AA6" i="28"/>
  <c r="B25" i="30"/>
  <c r="AY26" i="28"/>
  <c r="EN6" i="28"/>
  <c r="BK15" i="28"/>
  <c r="AZ59" i="28"/>
  <c r="BE59" i="28"/>
  <c r="DF59" i="28"/>
  <c r="DG59" i="28"/>
  <c r="AA63" i="28"/>
  <c r="AY54" i="28"/>
  <c r="B67" i="30"/>
  <c r="BW10" i="28"/>
  <c r="EM10" i="28"/>
  <c r="R10" i="31"/>
  <c r="BX24" i="28"/>
  <c r="CC24" i="28"/>
  <c r="ED24" i="28"/>
  <c r="EE24" i="28"/>
  <c r="P36" i="28"/>
  <c r="AY41" i="28"/>
  <c r="AZ30" i="28"/>
  <c r="BE30" i="28"/>
  <c r="DF30" i="28"/>
  <c r="DG30" i="28"/>
  <c r="AZ6" i="28"/>
  <c r="BE6" i="28"/>
  <c r="DF6" i="28"/>
  <c r="BW36" i="28"/>
  <c r="DO6" i="28"/>
  <c r="O6" i="31"/>
  <c r="B6" i="30"/>
  <c r="B41" i="30"/>
  <c r="BW24" i="28"/>
  <c r="AA83" i="28"/>
  <c r="AZ24" i="28"/>
  <c r="BE24" i="28"/>
  <c r="DF24" i="28"/>
  <c r="DC24" i="28"/>
  <c r="N24" i="31"/>
  <c r="AY24" i="28"/>
  <c r="CE6" i="28"/>
  <c r="AA5" i="28"/>
  <c r="AY52" i="28"/>
  <c r="BA52" i="28"/>
  <c r="DO10" i="28"/>
  <c r="O10" i="31"/>
  <c r="EA6" i="28"/>
  <c r="P6" i="31"/>
  <c r="P6" i="28"/>
  <c r="P52" i="28"/>
  <c r="B24" i="30"/>
  <c r="DC18" i="28"/>
  <c r="N18" i="31"/>
  <c r="BL15" i="28"/>
  <c r="BQ15" i="28"/>
  <c r="DR15" i="28"/>
  <c r="DS15" i="28"/>
  <c r="CE52" i="28"/>
  <c r="CE77" i="28"/>
  <c r="B49" i="30"/>
  <c r="P59" i="28"/>
  <c r="P13" i="28"/>
  <c r="B59" i="30"/>
  <c r="B26" i="30"/>
  <c r="BL13" i="28"/>
  <c r="BQ13" i="28"/>
  <c r="DR13" i="28"/>
  <c r="DS13" i="28"/>
  <c r="AY28" i="28"/>
  <c r="P26" i="28"/>
  <c r="EN13" i="28"/>
  <c r="AA13" i="28"/>
  <c r="AZ26" i="28"/>
  <c r="BE26" i="28"/>
  <c r="DF26" i="28"/>
  <c r="DG26" i="28"/>
  <c r="EM13" i="28"/>
  <c r="R13" i="31"/>
  <c r="AB13" i="28"/>
  <c r="AG13" i="28"/>
  <c r="CH13" i="28"/>
  <c r="CI13" i="28"/>
  <c r="CK13" i="28"/>
  <c r="CE26" i="28"/>
  <c r="BW32" i="28"/>
  <c r="BY32" i="28"/>
  <c r="BW13" i="28"/>
  <c r="BY13" i="28"/>
  <c r="BZ13" i="28"/>
  <c r="AA14" i="28"/>
  <c r="AA4" i="28"/>
  <c r="AB10" i="28"/>
  <c r="AG10" i="28"/>
  <c r="CH10" i="28"/>
  <c r="CI10" i="28"/>
  <c r="CK10" i="28"/>
  <c r="CE24" i="28"/>
  <c r="CE32" i="28"/>
  <c r="AB49" i="28"/>
  <c r="AG49" i="28"/>
  <c r="CH49" i="28"/>
  <c r="CI49" i="28"/>
  <c r="CK49" i="28"/>
  <c r="AB67" i="28"/>
  <c r="AG67" i="28"/>
  <c r="CH67" i="28"/>
  <c r="CI67" i="28"/>
  <c r="CK67" i="28"/>
  <c r="AY46" i="28"/>
  <c r="AZ13" i="28"/>
  <c r="BE13" i="28"/>
  <c r="DF13" i="28"/>
  <c r="DG13" i="28"/>
  <c r="DI13" i="28"/>
  <c r="B13" i="30"/>
  <c r="AY13" i="28"/>
  <c r="B28" i="30"/>
  <c r="P49" i="28"/>
  <c r="DC13" i="28"/>
  <c r="N13" i="31"/>
  <c r="AY15" i="28"/>
  <c r="BA15" i="28"/>
  <c r="CE13" i="28"/>
  <c r="AA26" i="28"/>
  <c r="AB52" i="28"/>
  <c r="AG52" i="28"/>
  <c r="CH52" i="28"/>
  <c r="CI52" i="28"/>
  <c r="CK52" i="28"/>
  <c r="AB77" i="28"/>
  <c r="AG77" i="28"/>
  <c r="CH77" i="28"/>
  <c r="CI77" i="28"/>
  <c r="CK77" i="28"/>
  <c r="CE49" i="28"/>
  <c r="CE67" i="28"/>
  <c r="AB61" i="28"/>
  <c r="AG61" i="28"/>
  <c r="CH61" i="28"/>
  <c r="CI61" i="28"/>
  <c r="CK61" i="28"/>
  <c r="AZ41" i="28"/>
  <c r="BE41" i="28"/>
  <c r="DF41" i="28"/>
  <c r="DG41" i="28"/>
  <c r="AZ19" i="28"/>
  <c r="BE19" i="28"/>
  <c r="DF19" i="28"/>
  <c r="DG19" i="28"/>
  <c r="DI19" i="28"/>
  <c r="DC25" i="28"/>
  <c r="N25" i="31"/>
  <c r="AZ28" i="28"/>
  <c r="BE28" i="28"/>
  <c r="DF28" i="28"/>
  <c r="DG28" i="28"/>
  <c r="AZ46" i="28"/>
  <c r="BE46" i="28"/>
  <c r="DF46" i="28"/>
  <c r="DG46" i="28"/>
  <c r="AA25" i="28"/>
  <c r="AY48" i="28"/>
  <c r="BA48" i="28"/>
  <c r="BB48" i="28"/>
  <c r="B48" i="30"/>
  <c r="P28" i="28"/>
  <c r="BL16" i="28"/>
  <c r="BQ16" i="28"/>
  <c r="DR16" i="28"/>
  <c r="DS16" i="28"/>
  <c r="CE10" i="28"/>
  <c r="AA28" i="28"/>
  <c r="DC15" i="28"/>
  <c r="N15" i="31"/>
  <c r="AA16" i="28"/>
  <c r="AB18" i="28"/>
  <c r="AG18" i="28"/>
  <c r="CH18" i="28"/>
  <c r="CI18" i="28"/>
  <c r="CK18" i="28"/>
  <c r="AB70" i="28"/>
  <c r="AG70" i="28"/>
  <c r="CH70" i="28"/>
  <c r="CI70" i="28"/>
  <c r="CK70" i="28"/>
  <c r="CE78" i="28"/>
  <c r="AB41" i="28"/>
  <c r="AG41" i="28"/>
  <c r="CH41" i="28"/>
  <c r="CI41" i="28"/>
  <c r="CK41" i="28"/>
  <c r="CE48" i="28"/>
  <c r="AB74" i="28"/>
  <c r="AG74" i="28"/>
  <c r="CH74" i="28"/>
  <c r="CI74" i="28"/>
  <c r="CK74" i="28"/>
  <c r="AA48" i="28"/>
  <c r="P48" i="28"/>
  <c r="AA41" i="28"/>
  <c r="AZ61" i="28"/>
  <c r="BE61" i="28"/>
  <c r="DF61" i="28"/>
  <c r="DG61" i="28"/>
  <c r="BX43" i="28"/>
  <c r="CC43" i="28"/>
  <c r="ED43" i="28"/>
  <c r="EE43" i="28"/>
  <c r="AB64" i="28"/>
  <c r="AG64" i="28"/>
  <c r="CH64" i="28"/>
  <c r="CI64" i="28"/>
  <c r="CK64" i="28"/>
  <c r="BX41" i="28"/>
  <c r="CC41" i="28"/>
  <c r="ED41" i="28"/>
  <c r="EE41" i="28"/>
  <c r="BX12" i="28"/>
  <c r="CC12" i="28"/>
  <c r="ED12" i="28"/>
  <c r="EE12" i="28"/>
  <c r="AA78" i="28"/>
  <c r="DC10" i="28"/>
  <c r="N10" i="31"/>
  <c r="BK12" i="28"/>
  <c r="P41" i="28"/>
  <c r="CE65" i="28"/>
  <c r="CE28" i="28"/>
  <c r="AB48" i="28"/>
  <c r="AG48" i="28"/>
  <c r="CH48" i="28"/>
  <c r="CI48" i="28"/>
  <c r="CK48" i="28"/>
  <c r="AB83" i="28"/>
  <c r="AG83" i="28"/>
  <c r="CH83" i="28"/>
  <c r="CI83" i="28"/>
  <c r="CK83" i="28"/>
  <c r="AB5" i="28"/>
  <c r="AG5" i="28"/>
  <c r="CH5" i="28"/>
  <c r="CI5" i="28"/>
  <c r="CK5" i="28"/>
  <c r="CE59" i="28"/>
  <c r="AA12" i="28"/>
  <c r="L92" i="30"/>
  <c r="M92" i="30"/>
  <c r="BW37" i="28"/>
  <c r="AA33" i="28"/>
  <c r="AA53" i="28"/>
  <c r="AA18" i="28"/>
  <c r="CE81" i="28"/>
  <c r="AA42" i="28"/>
  <c r="AY39" i="28"/>
  <c r="BA39" i="28"/>
  <c r="CE39" i="28"/>
  <c r="CE69" i="28"/>
  <c r="BX39" i="28"/>
  <c r="CC39" i="28"/>
  <c r="ED39" i="28"/>
  <c r="EE39" i="28"/>
  <c r="B32" i="30"/>
  <c r="AA52" i="28"/>
  <c r="CE25" i="28"/>
  <c r="AA65" i="28"/>
  <c r="AY22" i="28"/>
  <c r="B77" i="30"/>
  <c r="B39" i="30"/>
  <c r="AA10" i="28"/>
  <c r="AA44" i="28"/>
  <c r="AZ18" i="28"/>
  <c r="BE18" i="28"/>
  <c r="DF18" i="28"/>
  <c r="B78" i="30"/>
  <c r="EA10" i="28"/>
  <c r="P10" i="31"/>
  <c r="P10" i="28"/>
  <c r="P69" i="28"/>
  <c r="BW26" i="28"/>
  <c r="BY26" i="28"/>
  <c r="BZ26" i="28"/>
  <c r="AY30" i="28"/>
  <c r="AZ32" i="28"/>
  <c r="BE32" i="28"/>
  <c r="DF32" i="28"/>
  <c r="DG32" i="28"/>
  <c r="AB26" i="28"/>
  <c r="AG26" i="28"/>
  <c r="CH26" i="28"/>
  <c r="CI26" i="28"/>
  <c r="CK26" i="28"/>
  <c r="AY36" i="28"/>
  <c r="BA36" i="28"/>
  <c r="B52" i="30"/>
  <c r="BL18" i="28"/>
  <c r="BQ18" i="28"/>
  <c r="DR18" i="28"/>
  <c r="DS18" i="28"/>
  <c r="P32" i="28"/>
  <c r="AY25" i="28"/>
  <c r="AB25" i="28"/>
  <c r="AG25" i="28"/>
  <c r="CH25" i="28"/>
  <c r="CI25" i="28"/>
  <c r="CK25" i="28"/>
  <c r="AB39" i="28"/>
  <c r="AG39" i="28"/>
  <c r="CH39" i="28"/>
  <c r="CI39" i="28"/>
  <c r="CK39" i="28"/>
  <c r="AA69" i="28"/>
  <c r="AB78" i="28"/>
  <c r="AG78" i="28"/>
  <c r="CH78" i="28"/>
  <c r="CI78" i="28"/>
  <c r="CK78" i="28"/>
  <c r="B36" i="30"/>
  <c r="B65" i="30"/>
  <c r="P81" i="28"/>
  <c r="AB81" i="28"/>
  <c r="AG81" i="28"/>
  <c r="CH81" i="28"/>
  <c r="CI81" i="28"/>
  <c r="CK81" i="28"/>
  <c r="AY60" i="28"/>
  <c r="BK22" i="28"/>
  <c r="BM22" i="28"/>
  <c r="AY7" i="28"/>
  <c r="P25" i="28"/>
  <c r="AB73" i="28"/>
  <c r="AG73" i="28"/>
  <c r="CH73" i="28"/>
  <c r="CI73" i="28"/>
  <c r="CK73" i="28"/>
  <c r="BW12" i="28"/>
  <c r="B33" i="30"/>
  <c r="P39" i="28"/>
  <c r="AB65" i="28"/>
  <c r="AG65" i="28"/>
  <c r="CH65" i="28"/>
  <c r="CI65" i="28"/>
  <c r="CK65" i="28"/>
  <c r="AA73" i="28"/>
  <c r="AY19" i="28"/>
  <c r="CE36" i="28"/>
  <c r="EN10" i="28"/>
  <c r="B10" i="30"/>
  <c r="AY32" i="28"/>
  <c r="BW18" i="28"/>
  <c r="AA60" i="28"/>
  <c r="BX22" i="28"/>
  <c r="CC22" i="28"/>
  <c r="ED22" i="28"/>
  <c r="EE22" i="28"/>
  <c r="P5" i="28"/>
  <c r="EN18" i="28"/>
  <c r="CE83" i="28"/>
  <c r="AB69" i="28"/>
  <c r="AG69" i="28"/>
  <c r="CH69" i="28"/>
  <c r="CI69" i="28"/>
  <c r="CK69" i="28"/>
  <c r="AA77" i="28"/>
  <c r="CE74" i="28"/>
  <c r="BA60" i="28"/>
  <c r="AB51" i="28"/>
  <c r="AG51" i="28"/>
  <c r="CH51" i="28"/>
  <c r="CI51" i="28"/>
  <c r="CK51" i="28"/>
  <c r="AF106" i="28"/>
  <c r="CF106" i="28"/>
  <c r="CG106" i="28"/>
  <c r="CJ106" i="28"/>
  <c r="CL106" i="28"/>
  <c r="EV106" i="28"/>
  <c r="F106" i="31"/>
  <c r="L106" i="31"/>
  <c r="AB86" i="28"/>
  <c r="AG86" i="28"/>
  <c r="CH86" i="28"/>
  <c r="CI86" i="28"/>
  <c r="CK86" i="28"/>
  <c r="CE86" i="28"/>
  <c r="P86" i="28"/>
  <c r="AH86" i="28"/>
  <c r="AA86" i="28"/>
  <c r="B83" i="30"/>
  <c r="B76" i="30"/>
  <c r="AB76" i="28"/>
  <c r="AG76" i="28"/>
  <c r="CH76" i="28"/>
  <c r="CI76" i="28"/>
  <c r="CK76" i="28"/>
  <c r="CE76" i="28"/>
  <c r="B74" i="30"/>
  <c r="AA61" i="28"/>
  <c r="AB59" i="28"/>
  <c r="AG59" i="28"/>
  <c r="CH59" i="28"/>
  <c r="CI59" i="28"/>
  <c r="CK59" i="28"/>
  <c r="AA59" i="28"/>
  <c r="AA46" i="28"/>
  <c r="AB46" i="28"/>
  <c r="AG46" i="28"/>
  <c r="CH46" i="28"/>
  <c r="CI46" i="28"/>
  <c r="CK46" i="28"/>
  <c r="AB44" i="28"/>
  <c r="AG44" i="28"/>
  <c r="CH44" i="28"/>
  <c r="CI44" i="28"/>
  <c r="CK44" i="28"/>
  <c r="CE44" i="28"/>
  <c r="B44" i="30"/>
  <c r="CE41" i="28"/>
  <c r="AA35" i="28"/>
  <c r="AB33" i="28"/>
  <c r="AG33" i="28"/>
  <c r="CH33" i="28"/>
  <c r="CI33" i="28"/>
  <c r="CK33" i="28"/>
  <c r="CE33" i="28"/>
  <c r="AY33" i="28"/>
  <c r="P33" i="28"/>
  <c r="AH33" i="28"/>
  <c r="BW33" i="28"/>
  <c r="AB28" i="28"/>
  <c r="AG28" i="28"/>
  <c r="CH28" i="28"/>
  <c r="CI28" i="28"/>
  <c r="CK28" i="28"/>
  <c r="BW21" i="28"/>
  <c r="CE18" i="28"/>
  <c r="P18" i="28"/>
  <c r="BX18" i="28"/>
  <c r="CC18" i="28"/>
  <c r="ED18" i="28"/>
  <c r="EE18" i="28"/>
  <c r="AB15" i="28"/>
  <c r="AG15" i="28"/>
  <c r="CH15" i="28"/>
  <c r="CI15" i="28"/>
  <c r="CK15" i="28"/>
  <c r="AA15" i="28"/>
  <c r="BW15" i="28"/>
  <c r="BX15" i="28"/>
  <c r="CC15" i="28"/>
  <c r="ED15" i="28"/>
  <c r="EE15" i="28"/>
  <c r="BL12" i="28"/>
  <c r="BQ12" i="28"/>
  <c r="DR12" i="28"/>
  <c r="DS12" i="28"/>
  <c r="P83" i="28"/>
  <c r="AH83" i="28"/>
  <c r="BK13" i="28"/>
  <c r="B15" i="30"/>
  <c r="AA24" i="28"/>
  <c r="EM15" i="28"/>
  <c r="R15" i="31"/>
  <c r="AA67" i="28"/>
  <c r="EN15" i="28"/>
  <c r="BL10" i="28"/>
  <c r="BQ10" i="28"/>
  <c r="DR10" i="28"/>
  <c r="DS10" i="28"/>
  <c r="DU10" i="28"/>
  <c r="CE46" i="28"/>
  <c r="CE15" i="28"/>
  <c r="P46" i="28"/>
  <c r="BW20" i="28"/>
  <c r="AY43" i="28"/>
  <c r="BA43" i="28"/>
  <c r="BB43" i="28"/>
  <c r="P44" i="28"/>
  <c r="BW28" i="28"/>
  <c r="BY28" i="28"/>
  <c r="BZ28" i="28"/>
  <c r="P15" i="28"/>
  <c r="AA74" i="28"/>
  <c r="AA76" i="28"/>
  <c r="AE99" i="28"/>
  <c r="F99" i="32"/>
  <c r="L99" i="32"/>
  <c r="AF99" i="28"/>
  <c r="CF99" i="28"/>
  <c r="CG99" i="28"/>
  <c r="CJ99" i="28"/>
  <c r="CL99" i="28"/>
  <c r="EV99" i="28"/>
  <c r="F99" i="31"/>
  <c r="L99" i="31"/>
  <c r="AY12" i="28"/>
  <c r="BA12" i="28"/>
  <c r="BB12" i="28"/>
  <c r="AY50" i="28"/>
  <c r="BA50" i="28"/>
  <c r="BB50" i="28"/>
  <c r="AY18" i="28"/>
  <c r="AE102" i="28"/>
  <c r="F102" i="32"/>
  <c r="L102" i="32"/>
  <c r="AF102" i="28"/>
  <c r="CF102" i="28"/>
  <c r="CG102" i="28"/>
  <c r="CJ102" i="28"/>
  <c r="CL102" i="28"/>
  <c r="EV102" i="28"/>
  <c r="AB22" i="28"/>
  <c r="AG22" i="28"/>
  <c r="CH22" i="28"/>
  <c r="CI22" i="28"/>
  <c r="CK22" i="28"/>
  <c r="AB24" i="28"/>
  <c r="AG24" i="28"/>
  <c r="CH24" i="28"/>
  <c r="CI24" i="28"/>
  <c r="CK24" i="28"/>
  <c r="BX37" i="28"/>
  <c r="CC37" i="28"/>
  <c r="ED37" i="28"/>
  <c r="EE37" i="28"/>
  <c r="AA71" i="28"/>
  <c r="AB56" i="28"/>
  <c r="AG56" i="28"/>
  <c r="CH56" i="28"/>
  <c r="CI56" i="28"/>
  <c r="CK56" i="28"/>
  <c r="AB84" i="28"/>
  <c r="AG84" i="28"/>
  <c r="CH84" i="28"/>
  <c r="CI84" i="28"/>
  <c r="CK84" i="28"/>
  <c r="AY10" i="28"/>
  <c r="BA10" i="28"/>
  <c r="BB10" i="28"/>
  <c r="AF92" i="28"/>
  <c r="CF92" i="28"/>
  <c r="CG92" i="28"/>
  <c r="CJ92" i="28"/>
  <c r="CL92" i="28"/>
  <c r="EV92" i="28"/>
  <c r="F92" i="31"/>
  <c r="L92" i="31"/>
  <c r="BW6" i="28"/>
  <c r="AA30" i="28"/>
  <c r="AA22" i="28"/>
  <c r="BK10" i="28"/>
  <c r="BX10" i="28"/>
  <c r="CC10" i="28"/>
  <c r="ED10" i="28"/>
  <c r="EE10" i="28"/>
  <c r="EG10" i="28"/>
  <c r="AE101" i="28"/>
  <c r="F101" i="32"/>
  <c r="L101" i="32"/>
  <c r="AE90" i="28"/>
  <c r="F90" i="32"/>
  <c r="L90" i="32"/>
  <c r="AF90" i="28"/>
  <c r="CF90" i="28"/>
  <c r="CG90" i="28"/>
  <c r="CJ90" i="28"/>
  <c r="CL90" i="28"/>
  <c r="EV90" i="28"/>
  <c r="EX90" i="28"/>
  <c r="Q90" i="31"/>
  <c r="L93" i="30"/>
  <c r="AE93" i="28"/>
  <c r="F93" i="32"/>
  <c r="AF93" i="28"/>
  <c r="CF93" i="28"/>
  <c r="CG93" i="28"/>
  <c r="CJ93" i="28"/>
  <c r="CL93" i="28"/>
  <c r="EV93" i="28"/>
  <c r="EX93" i="28"/>
  <c r="Q93" i="31"/>
  <c r="AE96" i="28"/>
  <c r="F96" i="32"/>
  <c r="L96" i="32"/>
  <c r="AF96" i="28"/>
  <c r="CF96" i="28"/>
  <c r="CG96" i="28"/>
  <c r="CJ96" i="28"/>
  <c r="CL96" i="28"/>
  <c r="EV96" i="28"/>
  <c r="F96" i="31"/>
  <c r="L96" i="31"/>
  <c r="AF114" i="28"/>
  <c r="CF114" i="28"/>
  <c r="CG114" i="28"/>
  <c r="CJ114" i="28"/>
  <c r="CL114" i="28"/>
  <c r="EV114" i="28"/>
  <c r="EX114" i="28"/>
  <c r="Q114" i="31"/>
  <c r="AE114" i="28"/>
  <c r="F114" i="32"/>
  <c r="L114" i="30"/>
  <c r="AE94" i="28"/>
  <c r="F94" i="32"/>
  <c r="L94" i="32"/>
  <c r="AF105" i="28"/>
  <c r="CF105" i="28"/>
  <c r="CG105" i="28"/>
  <c r="CJ105" i="28"/>
  <c r="CL105" i="28"/>
  <c r="EV105" i="28"/>
  <c r="EX105" i="28"/>
  <c r="Q105" i="31"/>
  <c r="AE111" i="28"/>
  <c r="F111" i="32"/>
  <c r="L111" i="32"/>
  <c r="AE87" i="28"/>
  <c r="F87" i="32"/>
  <c r="L87" i="32"/>
  <c r="AF87" i="28"/>
  <c r="CF87" i="28"/>
  <c r="CG87" i="28"/>
  <c r="CJ87" i="28"/>
  <c r="CL87" i="28"/>
  <c r="EV87" i="28"/>
  <c r="F87" i="31"/>
  <c r="L87" i="31"/>
  <c r="AE98" i="28"/>
  <c r="F98" i="32"/>
  <c r="L98" i="32"/>
  <c r="AF98" i="28"/>
  <c r="CF98" i="28"/>
  <c r="CG98" i="28"/>
  <c r="CJ98" i="28"/>
  <c r="CL98" i="28"/>
  <c r="EV98" i="28"/>
  <c r="EX98" i="28"/>
  <c r="Q98" i="31"/>
  <c r="AE95" i="28"/>
  <c r="F95" i="32"/>
  <c r="L95" i="32"/>
  <c r="AF95" i="28"/>
  <c r="CF95" i="28"/>
  <c r="CG95" i="28"/>
  <c r="CJ95" i="28"/>
  <c r="CL95" i="28"/>
  <c r="EV95" i="28"/>
  <c r="F95" i="31"/>
  <c r="L95" i="31"/>
  <c r="AE103" i="28"/>
  <c r="F103" i="32"/>
  <c r="L103" i="32"/>
  <c r="AF103" i="28"/>
  <c r="CF103" i="28"/>
  <c r="CG103" i="28"/>
  <c r="CJ103" i="28"/>
  <c r="CL103" i="28"/>
  <c r="EV103" i="28"/>
  <c r="F103" i="31"/>
  <c r="L103" i="31"/>
  <c r="AF89" i="28"/>
  <c r="CF89" i="28"/>
  <c r="CG89" i="28"/>
  <c r="CJ89" i="28"/>
  <c r="CL89" i="28"/>
  <c r="EV89" i="28"/>
  <c r="EX89" i="28"/>
  <c r="Q89" i="31"/>
  <c r="L89" i="30"/>
  <c r="AE89" i="28"/>
  <c r="F89" i="32"/>
  <c r="L89" i="32"/>
  <c r="AB21" i="28"/>
  <c r="AG21" i="28"/>
  <c r="CH21" i="28"/>
  <c r="CI21" i="28"/>
  <c r="CK21" i="28"/>
  <c r="B5" i="30"/>
  <c r="CE5" i="28"/>
  <c r="AY5" i="28"/>
  <c r="DO5" i="28"/>
  <c r="O5" i="31"/>
  <c r="DC5" i="28"/>
  <c r="N5" i="31"/>
  <c r="AA70" i="28"/>
  <c r="BW5" i="28"/>
  <c r="EA5" i="28"/>
  <c r="P5" i="31"/>
  <c r="EM5" i="28"/>
  <c r="R5" i="31"/>
  <c r="BX5" i="28"/>
  <c r="CC5" i="28"/>
  <c r="ED5" i="28"/>
  <c r="EE5" i="28"/>
  <c r="EG5" i="28"/>
  <c r="BL5" i="28"/>
  <c r="BQ5" i="28"/>
  <c r="DR5" i="28"/>
  <c r="DS5" i="28"/>
  <c r="DU5" i="28"/>
  <c r="AZ5" i="28"/>
  <c r="BE5" i="28"/>
  <c r="DF5" i="28"/>
  <c r="DG5" i="28"/>
  <c r="DI5" i="28"/>
  <c r="BK5" i="28"/>
  <c r="BX40" i="28"/>
  <c r="CC40" i="28"/>
  <c r="ED40" i="28"/>
  <c r="EE40" i="28"/>
  <c r="BX14" i="28"/>
  <c r="CC14" i="28"/>
  <c r="ED14" i="28"/>
  <c r="EE14" i="28"/>
  <c r="AB40" i="28"/>
  <c r="AG40" i="28"/>
  <c r="CH40" i="28"/>
  <c r="CI40" i="28"/>
  <c r="CK40" i="28"/>
  <c r="BW14" i="28"/>
  <c r="BL14" i="28"/>
  <c r="BQ14" i="28"/>
  <c r="DR14" i="28"/>
  <c r="DS14" i="28"/>
  <c r="AZ40" i="28"/>
  <c r="BE40" i="28"/>
  <c r="DF40" i="28"/>
  <c r="DG40" i="28"/>
  <c r="CE54" i="28"/>
  <c r="AZ54" i="28"/>
  <c r="BE54" i="28"/>
  <c r="DF54" i="28"/>
  <c r="DG54" i="28"/>
  <c r="AA55" i="28"/>
  <c r="AA51" i="28"/>
  <c r="BW35" i="28"/>
  <c r="BK14" i="28"/>
  <c r="B54" i="30"/>
  <c r="CE40" i="28"/>
  <c r="BW22" i="28"/>
  <c r="AA32" i="28"/>
  <c r="AA54" i="28"/>
  <c r="P40" i="28"/>
  <c r="AH40" i="28"/>
  <c r="AY14" i="28"/>
  <c r="BA14" i="28"/>
  <c r="BB14" i="28"/>
  <c r="AY29" i="28"/>
  <c r="AY40" i="28"/>
  <c r="BW9" i="28"/>
  <c r="AA40" i="28"/>
  <c r="AB29" i="28"/>
  <c r="AG29" i="28"/>
  <c r="CH29" i="28"/>
  <c r="CI29" i="28"/>
  <c r="CK29" i="28"/>
  <c r="AB54" i="28"/>
  <c r="AG54" i="28"/>
  <c r="CH54" i="28"/>
  <c r="CI54" i="28"/>
  <c r="CK54" i="28"/>
  <c r="BW40" i="28"/>
  <c r="BE10" i="28"/>
  <c r="DF10" i="28"/>
  <c r="DG10" i="28"/>
  <c r="DI10" i="28"/>
  <c r="AB80" i="28"/>
  <c r="AG80" i="28"/>
  <c r="CH80" i="28"/>
  <c r="CI80" i="28"/>
  <c r="CK80" i="28"/>
  <c r="EN23" i="28"/>
  <c r="EO23" i="28"/>
  <c r="ES23" i="28"/>
  <c r="AY31" i="28"/>
  <c r="AY44" i="28"/>
  <c r="BA44" i="28"/>
  <c r="BB44" i="28"/>
  <c r="BX33" i="28"/>
  <c r="CC33" i="28"/>
  <c r="ED33" i="28"/>
  <c r="EE33" i="28"/>
  <c r="AA82" i="28"/>
  <c r="AY16" i="28"/>
  <c r="AY58" i="28"/>
  <c r="AB42" i="28"/>
  <c r="AG42" i="28"/>
  <c r="CH42" i="28"/>
  <c r="CI42" i="28"/>
  <c r="CK42" i="28"/>
  <c r="BW4" i="28"/>
  <c r="BX9" i="28"/>
  <c r="CC9" i="28"/>
  <c r="ED9" i="28"/>
  <c r="EE9" i="28"/>
  <c r="EG9" i="28"/>
  <c r="AB63" i="28"/>
  <c r="AG63" i="28"/>
  <c r="CH63" i="28"/>
  <c r="CI63" i="28"/>
  <c r="CK63" i="28"/>
  <c r="AA58" i="28"/>
  <c r="BW42" i="28"/>
  <c r="BL23" i="28"/>
  <c r="BQ23" i="28"/>
  <c r="DR23" i="28"/>
  <c r="DS23" i="28"/>
  <c r="BL9" i="28"/>
  <c r="BQ9" i="28"/>
  <c r="DR9" i="28"/>
  <c r="DS9" i="28"/>
  <c r="DU9" i="28"/>
  <c r="AB55" i="28"/>
  <c r="AG55" i="28"/>
  <c r="CH55" i="28"/>
  <c r="CI55" i="28"/>
  <c r="CK55" i="28"/>
  <c r="AY4" i="28"/>
  <c r="AZ33" i="28"/>
  <c r="BE33" i="28"/>
  <c r="DF33" i="28"/>
  <c r="DG33" i="28"/>
  <c r="BW7" i="28"/>
  <c r="AA81" i="28"/>
  <c r="AB32" i="28"/>
  <c r="AG32" i="28"/>
  <c r="CH32" i="28"/>
  <c r="CI32" i="28"/>
  <c r="CK32" i="28"/>
  <c r="BK19" i="28"/>
  <c r="BM19" i="28"/>
  <c r="BN19" i="28"/>
  <c r="BW19" i="28"/>
  <c r="AA79" i="28"/>
  <c r="AA19" i="28"/>
  <c r="AY6" i="28"/>
  <c r="AY56" i="28"/>
  <c r="BA56" i="28"/>
  <c r="BB56" i="28"/>
  <c r="BX36" i="28"/>
  <c r="CC36" i="28"/>
  <c r="ED36" i="28"/>
  <c r="EE36" i="28"/>
  <c r="AY37" i="28"/>
  <c r="AA36" i="28"/>
  <c r="BK17" i="28"/>
  <c r="AA20" i="28"/>
  <c r="AB36" i="28"/>
  <c r="AG36" i="28"/>
  <c r="CH36" i="28"/>
  <c r="CI36" i="28"/>
  <c r="CK36" i="28"/>
  <c r="AZ25" i="28"/>
  <c r="BE25" i="28"/>
  <c r="DF25" i="28"/>
  <c r="DG25" i="28"/>
  <c r="DI25" i="28"/>
  <c r="F110" i="32"/>
  <c r="L110" i="32"/>
  <c r="DG60" i="28"/>
  <c r="DG9" i="28"/>
  <c r="DI9" i="28"/>
  <c r="DS22" i="28"/>
  <c r="EE17" i="28"/>
  <c r="EE11" i="28"/>
  <c r="EG11" i="28"/>
  <c r="CS106" i="28"/>
  <c r="CV106" i="28"/>
  <c r="CX106" i="28"/>
  <c r="B23" i="30"/>
  <c r="P23" i="28"/>
  <c r="DC23" i="28"/>
  <c r="N23" i="31"/>
  <c r="CE23" i="28"/>
  <c r="B85" i="30"/>
  <c r="AB85" i="28"/>
  <c r="AG85" i="28"/>
  <c r="CH85" i="28"/>
  <c r="CI85" i="28"/>
  <c r="CK85" i="28"/>
  <c r="P85" i="28"/>
  <c r="CE85" i="28"/>
  <c r="DS20" i="28"/>
  <c r="CP77" i="28"/>
  <c r="B62" i="30"/>
  <c r="P62" i="28"/>
  <c r="CE62" i="28"/>
  <c r="AA57" i="28"/>
  <c r="AZ57" i="28"/>
  <c r="BE57" i="28"/>
  <c r="DF57" i="28"/>
  <c r="B57" i="30"/>
  <c r="AB57" i="28"/>
  <c r="AG57" i="28"/>
  <c r="CH57" i="28"/>
  <c r="CI57" i="28"/>
  <c r="CK57" i="28"/>
  <c r="P57" i="28"/>
  <c r="CE57" i="28"/>
  <c r="AZ11" i="28"/>
  <c r="BE11" i="28"/>
  <c r="DF11" i="28"/>
  <c r="DG12" i="28"/>
  <c r="DI12" i="28"/>
  <c r="B16" i="30"/>
  <c r="P16" i="28"/>
  <c r="AB16" i="28"/>
  <c r="AG16" i="28"/>
  <c r="CH16" i="28"/>
  <c r="CI16" i="28"/>
  <c r="CK16" i="28"/>
  <c r="DC16" i="28"/>
  <c r="N16" i="31"/>
  <c r="EM16" i="28"/>
  <c r="R16" i="31"/>
  <c r="EN16" i="28"/>
  <c r="CE16" i="28"/>
  <c r="P63" i="28"/>
  <c r="B63" i="30"/>
  <c r="CE63" i="28"/>
  <c r="AI67" i="28"/>
  <c r="AK67" i="28"/>
  <c r="AM67" i="28"/>
  <c r="CP67" i="28"/>
  <c r="EE30" i="28"/>
  <c r="BX23" i="28"/>
  <c r="CC23" i="28"/>
  <c r="ED23" i="28"/>
  <c r="AY55" i="28"/>
  <c r="BA55" i="28"/>
  <c r="BB55" i="28"/>
  <c r="BK16" i="28"/>
  <c r="BX42" i="28"/>
  <c r="CC42" i="28"/>
  <c r="ED42" i="28"/>
  <c r="AY53" i="28"/>
  <c r="B72" i="30"/>
  <c r="P72" i="28"/>
  <c r="AB72" i="28"/>
  <c r="AG72" i="28"/>
  <c r="CH72" i="28"/>
  <c r="CI72" i="28"/>
  <c r="CK72" i="28"/>
  <c r="CE72" i="28"/>
  <c r="P31" i="28"/>
  <c r="B31" i="30"/>
  <c r="AB31" i="28"/>
  <c r="AG31" i="28"/>
  <c r="CH31" i="28"/>
  <c r="CI31" i="28"/>
  <c r="CK31" i="28"/>
  <c r="AA31" i="28"/>
  <c r="CE31" i="28"/>
  <c r="AZ21" i="28"/>
  <c r="BE21" i="28"/>
  <c r="DF21" i="28"/>
  <c r="B7" i="30"/>
  <c r="AZ7" i="28"/>
  <c r="BE7" i="28"/>
  <c r="DF7" i="28"/>
  <c r="P7" i="28"/>
  <c r="EN7" i="28"/>
  <c r="EA7" i="28"/>
  <c r="P7" i="31"/>
  <c r="DO7" i="28"/>
  <c r="O7" i="31"/>
  <c r="DC7" i="28"/>
  <c r="N7" i="31"/>
  <c r="EM7" i="28"/>
  <c r="R7" i="31"/>
  <c r="CE7" i="28"/>
  <c r="B35" i="30"/>
  <c r="P35" i="28"/>
  <c r="AB35" i="28"/>
  <c r="AG35" i="28"/>
  <c r="CH35" i="28"/>
  <c r="CI35" i="28"/>
  <c r="CK35" i="28"/>
  <c r="CE35" i="28"/>
  <c r="AI74" i="28"/>
  <c r="AK74" i="28"/>
  <c r="AM74" i="28"/>
  <c r="AY17" i="28"/>
  <c r="AY45" i="28"/>
  <c r="AY9" i="28"/>
  <c r="BA9" i="28"/>
  <c r="BB9" i="28"/>
  <c r="AA80" i="28"/>
  <c r="BL7" i="28"/>
  <c r="BQ7" i="28"/>
  <c r="DR7" i="28"/>
  <c r="EE13" i="28"/>
  <c r="BW17" i="28"/>
  <c r="BY17" i="28"/>
  <c r="BZ17" i="28"/>
  <c r="DG52" i="28"/>
  <c r="AZ42" i="28"/>
  <c r="BE42" i="28"/>
  <c r="DF42" i="28"/>
  <c r="BW23" i="28"/>
  <c r="B14" i="30"/>
  <c r="EN14" i="28"/>
  <c r="P14" i="28"/>
  <c r="AB14" i="28"/>
  <c r="AG14" i="28"/>
  <c r="CH14" i="28"/>
  <c r="CI14" i="28"/>
  <c r="CK14" i="28"/>
  <c r="CE14" i="28"/>
  <c r="DC14" i="28"/>
  <c r="N14" i="31"/>
  <c r="EM14" i="28"/>
  <c r="R14" i="31"/>
  <c r="B34" i="30"/>
  <c r="AB34" i="28"/>
  <c r="AG34" i="28"/>
  <c r="CH34" i="28"/>
  <c r="CI34" i="28"/>
  <c r="CK34" i="28"/>
  <c r="P34" i="28"/>
  <c r="BX34" i="28"/>
  <c r="CC34" i="28"/>
  <c r="ED34" i="28"/>
  <c r="CE34" i="28"/>
  <c r="B45" i="30"/>
  <c r="P45" i="28"/>
  <c r="AB45" i="28"/>
  <c r="AG45" i="28"/>
  <c r="CH45" i="28"/>
  <c r="CI45" i="28"/>
  <c r="CK45" i="28"/>
  <c r="AA45" i="28"/>
  <c r="CE45" i="28"/>
  <c r="P68" i="28"/>
  <c r="AB68" i="28"/>
  <c r="AG68" i="28"/>
  <c r="CH68" i="28"/>
  <c r="CI68" i="28"/>
  <c r="CK68" i="28"/>
  <c r="B68" i="30"/>
  <c r="CE68" i="28"/>
  <c r="AB11" i="28"/>
  <c r="AG11" i="28"/>
  <c r="CH11" i="28"/>
  <c r="CI11" i="28"/>
  <c r="CK11" i="28"/>
  <c r="BL11" i="28"/>
  <c r="BQ11" i="28"/>
  <c r="DR11" i="28"/>
  <c r="P11" i="28"/>
  <c r="B11" i="30"/>
  <c r="EN11" i="28"/>
  <c r="DC11" i="28"/>
  <c r="N11" i="31"/>
  <c r="CE11" i="28"/>
  <c r="DO11" i="28"/>
  <c r="O11" i="31"/>
  <c r="EM11" i="28"/>
  <c r="R11" i="31"/>
  <c r="EA11" i="28"/>
  <c r="P11" i="31"/>
  <c r="B17" i="30"/>
  <c r="P17" i="28"/>
  <c r="DC17" i="28"/>
  <c r="N17" i="31"/>
  <c r="EN17" i="28"/>
  <c r="CE17" i="28"/>
  <c r="EM17" i="28"/>
  <c r="R17" i="31"/>
  <c r="B43" i="30"/>
  <c r="P43" i="28"/>
  <c r="CE43" i="28"/>
  <c r="B51" i="30"/>
  <c r="P51" i="28"/>
  <c r="CE51" i="28"/>
  <c r="P58" i="28"/>
  <c r="B58" i="30"/>
  <c r="CE58" i="28"/>
  <c r="P84" i="28"/>
  <c r="AA84" i="28"/>
  <c r="B84" i="30"/>
  <c r="CE84" i="28"/>
  <c r="B9" i="30"/>
  <c r="P9" i="28"/>
  <c r="EN9" i="28"/>
  <c r="EA9" i="28"/>
  <c r="P9" i="31"/>
  <c r="DC9" i="28"/>
  <c r="N9" i="31"/>
  <c r="CE9" i="28"/>
  <c r="DO9" i="28"/>
  <c r="O9" i="31"/>
  <c r="EM9" i="28"/>
  <c r="R9" i="31"/>
  <c r="BK11" i="28"/>
  <c r="B82" i="30"/>
  <c r="P82" i="28"/>
  <c r="CE82" i="28"/>
  <c r="B4" i="30"/>
  <c r="P4" i="28"/>
  <c r="AH4" i="28"/>
  <c r="BL4" i="28"/>
  <c r="BQ4" i="28"/>
  <c r="DR4" i="28"/>
  <c r="EN4" i="28"/>
  <c r="EM4" i="28"/>
  <c r="EA4" i="28"/>
  <c r="P4" i="31"/>
  <c r="DO4" i="28"/>
  <c r="O4" i="31"/>
  <c r="CE4" i="28"/>
  <c r="AA43" i="28"/>
  <c r="AZ45" i="28"/>
  <c r="BE45" i="28"/>
  <c r="DF45" i="28"/>
  <c r="BK4" i="28"/>
  <c r="BK9" i="28"/>
  <c r="AA9" i="28"/>
  <c r="AZ34" i="28"/>
  <c r="BE34" i="28"/>
  <c r="DF34" i="28"/>
  <c r="B71" i="30"/>
  <c r="P71" i="28"/>
  <c r="AB71" i="28"/>
  <c r="AG71" i="28"/>
  <c r="CH71" i="28"/>
  <c r="CI71" i="28"/>
  <c r="CK71" i="28"/>
  <c r="CE71" i="28"/>
  <c r="AZ51" i="28"/>
  <c r="BE51" i="28"/>
  <c r="DF51" i="28"/>
  <c r="DG51" i="28"/>
  <c r="B12" i="30"/>
  <c r="EM12" i="28"/>
  <c r="R12" i="31"/>
  <c r="P12" i="28"/>
  <c r="EN12" i="28"/>
  <c r="CE12" i="28"/>
  <c r="DC12" i="28"/>
  <c r="N12" i="31"/>
  <c r="BK21" i="28"/>
  <c r="CS104" i="28"/>
  <c r="CV104" i="28"/>
  <c r="CX104" i="28"/>
  <c r="CS112" i="28"/>
  <c r="CV112" i="28"/>
  <c r="CX112" i="28"/>
  <c r="AA34" i="28"/>
  <c r="DG56" i="28"/>
  <c r="BW29" i="28"/>
  <c r="AB37" i="28"/>
  <c r="AG37" i="28"/>
  <c r="CH37" i="28"/>
  <c r="CI37" i="28"/>
  <c r="CK37" i="28"/>
  <c r="B37" i="30"/>
  <c r="P37" i="28"/>
  <c r="CE37" i="28"/>
  <c r="BX7" i="28"/>
  <c r="CC7" i="28"/>
  <c r="ED7" i="28"/>
  <c r="BK20" i="28"/>
  <c r="BM20" i="28"/>
  <c r="BN20" i="28"/>
  <c r="EE28" i="28"/>
  <c r="BX38" i="28"/>
  <c r="CC38" i="28"/>
  <c r="ED38" i="28"/>
  <c r="EE38" i="28"/>
  <c r="AY23" i="28"/>
  <c r="AZ53" i="28"/>
  <c r="BE53" i="28"/>
  <c r="DF53" i="28"/>
  <c r="BK7" i="28"/>
  <c r="AZ38" i="28"/>
  <c r="BE38" i="28"/>
  <c r="DF38" i="28"/>
  <c r="AZ29" i="28"/>
  <c r="BE29" i="28"/>
  <c r="DF29" i="28"/>
  <c r="AB47" i="28"/>
  <c r="AG47" i="28"/>
  <c r="CH47" i="28"/>
  <c r="CI47" i="28"/>
  <c r="CK47" i="28"/>
  <c r="AZ17" i="28"/>
  <c r="BE17" i="28"/>
  <c r="DF17" i="28"/>
  <c r="AY51" i="28"/>
  <c r="AA23" i="28"/>
  <c r="AB9" i="28"/>
  <c r="AG9" i="28"/>
  <c r="CH9" i="28"/>
  <c r="CI9" i="28"/>
  <c r="CK9" i="28"/>
  <c r="AA62" i="28"/>
  <c r="AY47" i="28"/>
  <c r="DG14" i="28"/>
  <c r="DI14" i="28"/>
  <c r="AZ58" i="28"/>
  <c r="BE58" i="28"/>
  <c r="DF58" i="28"/>
  <c r="DG58" i="28"/>
  <c r="BL17" i="28"/>
  <c r="BQ17" i="28"/>
  <c r="DR17" i="28"/>
  <c r="AB82" i="28"/>
  <c r="AG82" i="28"/>
  <c r="CH82" i="28"/>
  <c r="CI82" i="28"/>
  <c r="CK82" i="28"/>
  <c r="B73" i="30"/>
  <c r="P73" i="28"/>
  <c r="CE73" i="28"/>
  <c r="CS98" i="28"/>
  <c r="CV98" i="28"/>
  <c r="CX98" i="28"/>
  <c r="AY38" i="28"/>
  <c r="AA11" i="28"/>
  <c r="AB7" i="28"/>
  <c r="AG7" i="28"/>
  <c r="CH7" i="28"/>
  <c r="CI7" i="28"/>
  <c r="CK7" i="28"/>
  <c r="AZ23" i="28"/>
  <c r="BE23" i="28"/>
  <c r="DF23" i="28"/>
  <c r="AA38" i="28"/>
  <c r="B19" i="30"/>
  <c r="P19" i="28"/>
  <c r="DC19" i="28"/>
  <c r="N19" i="31"/>
  <c r="EN19" i="28"/>
  <c r="CE19" i="28"/>
  <c r="EM19" i="28"/>
  <c r="R19" i="31"/>
  <c r="P55" i="28"/>
  <c r="B55" i="30"/>
  <c r="CE55" i="28"/>
  <c r="AZ16" i="28"/>
  <c r="BE16" i="28"/>
  <c r="DF16" i="28"/>
  <c r="AB23" i="28"/>
  <c r="AG23" i="28"/>
  <c r="CH23" i="28"/>
  <c r="CI23" i="28"/>
  <c r="CK23" i="28"/>
  <c r="B61" i="30"/>
  <c r="P61" i="28"/>
  <c r="CE61" i="28"/>
  <c r="BW16" i="28"/>
  <c r="BY16" i="28"/>
  <c r="BZ16" i="28"/>
  <c r="AA85" i="28"/>
  <c r="AA66" i="28"/>
  <c r="AA21" i="28"/>
  <c r="AY42" i="28"/>
  <c r="B53" i="30"/>
  <c r="P53" i="28"/>
  <c r="CE53" i="28"/>
  <c r="B80" i="30"/>
  <c r="P80" i="28"/>
  <c r="CE80" i="28"/>
  <c r="EE26" i="28"/>
  <c r="AA68" i="28"/>
  <c r="AA37" i="28"/>
  <c r="AY35" i="28"/>
  <c r="AA7" i="28"/>
  <c r="AB17" i="28"/>
  <c r="AG17" i="28"/>
  <c r="CH17" i="28"/>
  <c r="CI17" i="28"/>
  <c r="CK17" i="28"/>
  <c r="AB38" i="28"/>
  <c r="AG38" i="28"/>
  <c r="CH38" i="28"/>
  <c r="CI38" i="28"/>
  <c r="CK38" i="28"/>
  <c r="BX35" i="28"/>
  <c r="CC35" i="28"/>
  <c r="ED35" i="28"/>
  <c r="AY34" i="28"/>
  <c r="AB43" i="28"/>
  <c r="AG43" i="28"/>
  <c r="CH43" i="28"/>
  <c r="CI43" i="28"/>
  <c r="CK43" i="28"/>
  <c r="B70" i="30"/>
  <c r="P70" i="28"/>
  <c r="CE70" i="28"/>
  <c r="AZ35" i="28"/>
  <c r="BE35" i="28"/>
  <c r="DF35" i="28"/>
  <c r="AB62" i="28"/>
  <c r="AG62" i="28"/>
  <c r="CH62" i="28"/>
  <c r="CI62" i="28"/>
  <c r="CK62" i="28"/>
  <c r="BW31" i="28"/>
  <c r="AY21" i="28"/>
  <c r="AB53" i="28"/>
  <c r="AG53" i="28"/>
  <c r="CH53" i="28"/>
  <c r="CI53" i="28"/>
  <c r="CK53" i="28"/>
  <c r="BX19" i="28"/>
  <c r="CC19" i="28"/>
  <c r="ED19" i="28"/>
  <c r="B22" i="30"/>
  <c r="P22" i="28"/>
  <c r="DC22" i="28"/>
  <c r="N22" i="31"/>
  <c r="CE22" i="28"/>
  <c r="EM22" i="28"/>
  <c r="R22" i="31"/>
  <c r="EN22" i="28"/>
  <c r="BX31" i="28"/>
  <c r="CC31" i="28"/>
  <c r="ED31" i="28"/>
  <c r="CS96" i="28"/>
  <c r="CV96" i="28"/>
  <c r="CX96" i="28"/>
  <c r="P75" i="28"/>
  <c r="B75" i="30"/>
  <c r="CE75" i="28"/>
  <c r="B47" i="30"/>
  <c r="P47" i="28"/>
  <c r="AA47" i="28"/>
  <c r="CE47" i="28"/>
  <c r="B29" i="30"/>
  <c r="P29" i="28"/>
  <c r="AA29" i="28"/>
  <c r="CE29" i="28"/>
  <c r="B20" i="30"/>
  <c r="P20" i="28"/>
  <c r="EN20" i="28"/>
  <c r="EM20" i="28"/>
  <c r="R20" i="31"/>
  <c r="AB20" i="28"/>
  <c r="AG20" i="28"/>
  <c r="CH20" i="28"/>
  <c r="CI20" i="28"/>
  <c r="CK20" i="28"/>
  <c r="BX20" i="28"/>
  <c r="CC20" i="28"/>
  <c r="ED20" i="28"/>
  <c r="DC20" i="28"/>
  <c r="N20" i="31"/>
  <c r="CE20" i="28"/>
  <c r="BW34" i="28"/>
  <c r="AA17" i="28"/>
  <c r="B27" i="30"/>
  <c r="AZ27" i="28"/>
  <c r="BE27" i="28"/>
  <c r="DF27" i="28"/>
  <c r="BX27" i="28"/>
  <c r="CC27" i="28"/>
  <c r="ED27" i="28"/>
  <c r="AA27" i="28"/>
  <c r="AY27" i="28"/>
  <c r="BW27" i="28"/>
  <c r="P27" i="28"/>
  <c r="AB27" i="28"/>
  <c r="AG27" i="28"/>
  <c r="CH27" i="28"/>
  <c r="CI27" i="28"/>
  <c r="CK27" i="28"/>
  <c r="CE27" i="28"/>
  <c r="AZ47" i="28"/>
  <c r="BE47" i="28"/>
  <c r="DF47" i="28"/>
  <c r="DG47" i="28"/>
  <c r="B66" i="30"/>
  <c r="P66" i="28"/>
  <c r="CE66" i="28"/>
  <c r="AA72" i="28"/>
  <c r="AB19" i="28"/>
  <c r="AG19" i="28"/>
  <c r="CH19" i="28"/>
  <c r="CI19" i="28"/>
  <c r="CK19" i="28"/>
  <c r="BW11" i="28"/>
  <c r="BY11" i="28"/>
  <c r="BZ11" i="28"/>
  <c r="AZ22" i="28"/>
  <c r="BE22" i="28"/>
  <c r="DF22" i="28"/>
  <c r="AA64" i="28"/>
  <c r="P64" i="28"/>
  <c r="B64" i="30"/>
  <c r="CE64" i="28"/>
  <c r="B50" i="30"/>
  <c r="AB50" i="28"/>
  <c r="AG50" i="28"/>
  <c r="CH50" i="28"/>
  <c r="CI50" i="28"/>
  <c r="CK50" i="28"/>
  <c r="AA50" i="28"/>
  <c r="P50" i="28"/>
  <c r="CE50" i="28"/>
  <c r="AB60" i="28"/>
  <c r="AG60" i="28"/>
  <c r="CH60" i="28"/>
  <c r="CI60" i="28"/>
  <c r="CK60" i="28"/>
  <c r="B60" i="30"/>
  <c r="P60" i="28"/>
  <c r="CE60" i="28"/>
  <c r="AY11" i="28"/>
  <c r="B42" i="30"/>
  <c r="P42" i="28"/>
  <c r="CE42" i="28"/>
  <c r="DS19" i="28"/>
  <c r="B38" i="30"/>
  <c r="P38" i="28"/>
  <c r="CE38" i="28"/>
  <c r="B21" i="30"/>
  <c r="P21" i="28"/>
  <c r="DC21" i="28"/>
  <c r="N21" i="31"/>
  <c r="EN21" i="28"/>
  <c r="CE21" i="28"/>
  <c r="EM21" i="28"/>
  <c r="R21" i="31"/>
  <c r="BL21" i="28"/>
  <c r="BQ21" i="28"/>
  <c r="DR21" i="28"/>
  <c r="EE16" i="28"/>
  <c r="AY57" i="28"/>
  <c r="BX21" i="28"/>
  <c r="CC21" i="28"/>
  <c r="ED21" i="28"/>
  <c r="AB58" i="28"/>
  <c r="AG58" i="28"/>
  <c r="CH58" i="28"/>
  <c r="CI58" i="28"/>
  <c r="CK58" i="28"/>
  <c r="AZ20" i="28"/>
  <c r="BE20" i="28"/>
  <c r="DF20" i="28"/>
  <c r="AZ37" i="28"/>
  <c r="BE37" i="28"/>
  <c r="DF37" i="28"/>
  <c r="AY20" i="28"/>
  <c r="AB66" i="28"/>
  <c r="AG66" i="28"/>
  <c r="CH66" i="28"/>
  <c r="CI66" i="28"/>
  <c r="CK66" i="28"/>
  <c r="AZ31" i="28"/>
  <c r="BE31" i="28"/>
  <c r="DF31" i="28"/>
  <c r="DG31" i="28"/>
  <c r="AB75" i="28"/>
  <c r="AG75" i="28"/>
  <c r="CH75" i="28"/>
  <c r="CI75" i="28"/>
  <c r="CK75" i="28"/>
  <c r="CP65" i="28"/>
  <c r="AI65" i="28"/>
  <c r="AK65" i="28"/>
  <c r="AM65" i="28"/>
  <c r="BX4" i="28"/>
  <c r="CC4" i="28"/>
  <c r="ED4" i="28"/>
  <c r="EE4" i="28"/>
  <c r="AB12" i="28"/>
  <c r="AG12" i="28"/>
  <c r="CH12" i="28"/>
  <c r="CI12" i="28"/>
  <c r="CK12" i="28"/>
  <c r="B30" i="30"/>
  <c r="P30" i="28"/>
  <c r="AB30" i="28"/>
  <c r="AG30" i="28"/>
  <c r="CH30" i="28"/>
  <c r="CI30" i="28"/>
  <c r="CK30" i="28"/>
  <c r="CE30" i="28"/>
  <c r="AA75" i="28"/>
  <c r="BX29" i="28"/>
  <c r="CC29" i="28"/>
  <c r="ED29" i="28"/>
  <c r="B56" i="30"/>
  <c r="AA56" i="28"/>
  <c r="P56" i="28"/>
  <c r="CE56" i="28"/>
  <c r="B47" i="11"/>
  <c r="EV110" i="28"/>
  <c r="EW110" i="28"/>
  <c r="DC8" i="28"/>
  <c r="N8" i="31"/>
  <c r="EA8" i="28"/>
  <c r="P8" i="31"/>
  <c r="DO8" i="28"/>
  <c r="O8" i="31"/>
  <c r="F112" i="32"/>
  <c r="M112" i="30"/>
  <c r="CV101" i="28"/>
  <c r="CX101" i="28"/>
  <c r="CV105" i="28"/>
  <c r="CX105" i="28"/>
  <c r="CV103" i="28"/>
  <c r="CX103" i="28"/>
  <c r="CV91" i="28"/>
  <c r="CX91" i="28"/>
  <c r="CV111" i="28"/>
  <c r="CX111" i="28"/>
  <c r="CV99" i="28"/>
  <c r="CX99" i="28"/>
  <c r="CV97" i="28"/>
  <c r="CX97" i="28"/>
  <c r="CV95" i="28"/>
  <c r="CX95" i="28"/>
  <c r="CV102" i="28"/>
  <c r="CX102" i="28"/>
  <c r="CV108" i="28"/>
  <c r="CX108" i="28"/>
  <c r="CJ112" i="28"/>
  <c r="CL112" i="28"/>
  <c r="CV100" i="28"/>
  <c r="CX100" i="28"/>
  <c r="CV109" i="28"/>
  <c r="CX109" i="28"/>
  <c r="CV107" i="28"/>
  <c r="CX107" i="28"/>
  <c r="AB79" i="28"/>
  <c r="CE79" i="28"/>
  <c r="P79" i="28"/>
  <c r="AH79" i="28"/>
  <c r="B79" i="30"/>
  <c r="CE8" i="28"/>
  <c r="BW8" i="28"/>
  <c r="AB8" i="28"/>
  <c r="AG8" i="28"/>
  <c r="CH8" i="28"/>
  <c r="CI8" i="28"/>
  <c r="B8" i="30"/>
  <c r="M110" i="30"/>
  <c r="P8" i="28"/>
  <c r="AH8" i="28"/>
  <c r="BL8" i="28"/>
  <c r="EM8" i="28"/>
  <c r="R8" i="31"/>
  <c r="AY8" i="28"/>
  <c r="BX8" i="28"/>
  <c r="CC8" i="28"/>
  <c r="ED8" i="28"/>
  <c r="AZ8" i="28"/>
  <c r="EN8" i="28"/>
  <c r="BK8" i="28"/>
  <c r="ER23" i="28"/>
  <c r="ET23" i="28"/>
  <c r="AA8" i="28"/>
  <c r="D61" i="29"/>
  <c r="H61" i="29"/>
  <c r="F43" i="29"/>
  <c r="J43" i="29"/>
  <c r="E23" i="29"/>
  <c r="I23" i="29"/>
  <c r="AT63" i="28"/>
  <c r="AV63" i="28"/>
  <c r="AU62" i="28"/>
  <c r="AX62" i="28"/>
  <c r="AZ62" i="28"/>
  <c r="BE62" i="28"/>
  <c r="DF62" i="28"/>
  <c r="AW61" i="28"/>
  <c r="AY61" i="28"/>
  <c r="BF25" i="28"/>
  <c r="BH25" i="28"/>
  <c r="BJ24" i="28"/>
  <c r="BL24" i="28"/>
  <c r="BQ24" i="28"/>
  <c r="DR24" i="28"/>
  <c r="BG24" i="28"/>
  <c r="DB26" i="28"/>
  <c r="BU43" i="28"/>
  <c r="BW43" i="28"/>
  <c r="BI23" i="28"/>
  <c r="BK23" i="28"/>
  <c r="EN24" i="28"/>
  <c r="EP24" i="28"/>
  <c r="EL25" i="28"/>
  <c r="EM24" i="28"/>
  <c r="EQ24" i="28"/>
  <c r="BR45" i="28"/>
  <c r="BT45" i="28"/>
  <c r="BS44" i="28"/>
  <c r="BV44" i="28"/>
  <c r="BX44" i="28"/>
  <c r="CC44" i="28"/>
  <c r="ED44" i="28"/>
  <c r="DZ12" i="28"/>
  <c r="DN12" i="28"/>
  <c r="C58" i="11"/>
  <c r="D58" i="11"/>
  <c r="BA4" i="28"/>
  <c r="BB4" i="28"/>
  <c r="CP54" i="28"/>
  <c r="AF88" i="28"/>
  <c r="CF88" i="28"/>
  <c r="CG88" i="28"/>
  <c r="CJ88" i="28"/>
  <c r="CL88" i="28"/>
  <c r="EV88" i="28"/>
  <c r="F88" i="31"/>
  <c r="L88" i="31"/>
  <c r="AF91" i="28"/>
  <c r="CF91" i="28"/>
  <c r="CG91" i="28"/>
  <c r="CJ91" i="28"/>
  <c r="CL91" i="28"/>
  <c r="EV91" i="28"/>
  <c r="EX91" i="28"/>
  <c r="Q91" i="31"/>
  <c r="AE105" i="28"/>
  <c r="F105" i="32"/>
  <c r="L105" i="32"/>
  <c r="AE100" i="28"/>
  <c r="F100" i="32"/>
  <c r="L100" i="32"/>
  <c r="AI78" i="28"/>
  <c r="AK78" i="28"/>
  <c r="AM78" i="28"/>
  <c r="AI54" i="28"/>
  <c r="AK54" i="28"/>
  <c r="AM54" i="28"/>
  <c r="AE88" i="28"/>
  <c r="F88" i="32"/>
  <c r="L88" i="32"/>
  <c r="AE91" i="28"/>
  <c r="F91" i="32"/>
  <c r="L91" i="32"/>
  <c r="AF100" i="28"/>
  <c r="CF100" i="28"/>
  <c r="CG100" i="28"/>
  <c r="CJ100" i="28"/>
  <c r="CL100" i="28"/>
  <c r="EV100" i="28"/>
  <c r="F100" i="31"/>
  <c r="L100" i="31"/>
  <c r="M107" i="30"/>
  <c r="CP78" i="28"/>
  <c r="CQ78" i="28"/>
  <c r="AF101" i="28"/>
  <c r="CF101" i="28"/>
  <c r="CG101" i="28"/>
  <c r="CJ101" i="28"/>
  <c r="CL101" i="28"/>
  <c r="EV101" i="28"/>
  <c r="EX101" i="28"/>
  <c r="Q101" i="31"/>
  <c r="AF107" i="28"/>
  <c r="CF107" i="28"/>
  <c r="CG107" i="28"/>
  <c r="CJ107" i="28"/>
  <c r="CL107" i="28"/>
  <c r="EV107" i="28"/>
  <c r="F107" i="31"/>
  <c r="L107" i="31"/>
  <c r="AE97" i="28"/>
  <c r="F97" i="32"/>
  <c r="AF109" i="28"/>
  <c r="CF109" i="28"/>
  <c r="CG109" i="28"/>
  <c r="CJ109" i="28"/>
  <c r="CL109" i="28"/>
  <c r="EV109" i="28"/>
  <c r="F109" i="31"/>
  <c r="L109" i="31"/>
  <c r="AF97" i="28"/>
  <c r="CF97" i="28"/>
  <c r="CG97" i="28"/>
  <c r="CJ97" i="28"/>
  <c r="CL97" i="28"/>
  <c r="EV97" i="28"/>
  <c r="EX97" i="28"/>
  <c r="Q97" i="31"/>
  <c r="L109" i="30"/>
  <c r="M109" i="30"/>
  <c r="AF111" i="28"/>
  <c r="CF111" i="28"/>
  <c r="CG111" i="28"/>
  <c r="CJ111" i="28"/>
  <c r="CL111" i="28"/>
  <c r="EV111" i="28"/>
  <c r="F111" i="31"/>
  <c r="L111" i="31"/>
  <c r="AF94" i="28"/>
  <c r="CF94" i="28"/>
  <c r="CG94" i="28"/>
  <c r="CJ94" i="28"/>
  <c r="CL94" i="28"/>
  <c r="EV94" i="28"/>
  <c r="AE106" i="28"/>
  <c r="F106" i="32"/>
  <c r="L106" i="32"/>
  <c r="L108" i="30"/>
  <c r="K90" i="30"/>
  <c r="M90" i="30"/>
  <c r="M87" i="30"/>
  <c r="K87" i="30"/>
  <c r="K103" i="30"/>
  <c r="M103" i="30"/>
  <c r="K98" i="30"/>
  <c r="M98" i="30"/>
  <c r="K95" i="30"/>
  <c r="M95" i="30"/>
  <c r="M102" i="30"/>
  <c r="K102" i="30"/>
  <c r="L108" i="32"/>
  <c r="K108" i="32"/>
  <c r="K97" i="30"/>
  <c r="M97" i="30"/>
  <c r="L104" i="32"/>
  <c r="K104" i="32"/>
  <c r="M96" i="30"/>
  <c r="K96" i="30"/>
  <c r="K100" i="30"/>
  <c r="M100" i="30"/>
  <c r="K111" i="30"/>
  <c r="M111" i="30"/>
  <c r="K94" i="30"/>
  <c r="M94" i="30"/>
  <c r="M101" i="30"/>
  <c r="K101" i="30"/>
  <c r="L113" i="32"/>
  <c r="K113" i="32"/>
  <c r="K105" i="30"/>
  <c r="M105" i="30"/>
  <c r="K99" i="30"/>
  <c r="M99" i="30"/>
  <c r="K88" i="30"/>
  <c r="M88" i="30"/>
  <c r="M106" i="30"/>
  <c r="K106" i="30"/>
  <c r="K91" i="30"/>
  <c r="M91" i="30"/>
  <c r="AF104" i="28"/>
  <c r="CF104" i="28"/>
  <c r="CG104" i="28"/>
  <c r="CJ104" i="28"/>
  <c r="CL104" i="28"/>
  <c r="EV104" i="28"/>
  <c r="F104" i="31"/>
  <c r="L104" i="31"/>
  <c r="L104" i="30"/>
  <c r="AE107" i="28"/>
  <c r="F107" i="32"/>
  <c r="AF113" i="28"/>
  <c r="CF113" i="28"/>
  <c r="CG113" i="28"/>
  <c r="CJ113" i="28"/>
  <c r="CL113" i="28"/>
  <c r="EV113" i="28"/>
  <c r="EX113" i="28"/>
  <c r="Q113" i="31"/>
  <c r="L113" i="30"/>
  <c r="AI24" i="28"/>
  <c r="AK24" i="28"/>
  <c r="AM24" i="28"/>
  <c r="AO24" i="28"/>
  <c r="CP74" i="28"/>
  <c r="AI76" i="28"/>
  <c r="AK76" i="28"/>
  <c r="AM76" i="28"/>
  <c r="AO76" i="28"/>
  <c r="AI77" i="28"/>
  <c r="AK77" i="28"/>
  <c r="AM77" i="28"/>
  <c r="AO77" i="28"/>
  <c r="AP77" i="28"/>
  <c r="CP76" i="28"/>
  <c r="CY76" i="28"/>
  <c r="CP24" i="28"/>
  <c r="CY24" i="28"/>
  <c r="AH42" i="28"/>
  <c r="AJ42" i="28"/>
  <c r="AL42" i="28"/>
  <c r="AN42" i="28"/>
  <c r="AS42" i="28"/>
  <c r="CT42" i="28"/>
  <c r="CU42" i="28"/>
  <c r="AH19" i="28"/>
  <c r="AJ19" i="28"/>
  <c r="AL19" i="28"/>
  <c r="AN19" i="28"/>
  <c r="AS19" i="28"/>
  <c r="CT19" i="28"/>
  <c r="AH56" i="28"/>
  <c r="AJ56" i="28"/>
  <c r="AL56" i="28"/>
  <c r="AN56" i="28"/>
  <c r="AS56" i="28"/>
  <c r="CT56" i="28"/>
  <c r="CU56" i="28"/>
  <c r="AH21" i="28"/>
  <c r="AJ21" i="28"/>
  <c r="AL21" i="28"/>
  <c r="AN21" i="28"/>
  <c r="AS21" i="28"/>
  <c r="CT21" i="28"/>
  <c r="AH29" i="28"/>
  <c r="AJ29" i="28"/>
  <c r="AL29" i="28"/>
  <c r="AN29" i="28"/>
  <c r="AS29" i="28"/>
  <c r="CT29" i="28"/>
  <c r="CU29" i="28"/>
  <c r="AH75" i="28"/>
  <c r="AJ75" i="28"/>
  <c r="AL75" i="28"/>
  <c r="AN75" i="28"/>
  <c r="AS75" i="28"/>
  <c r="CT75" i="28"/>
  <c r="CU75" i="28"/>
  <c r="AH73" i="28"/>
  <c r="AJ73" i="28"/>
  <c r="AL73" i="28"/>
  <c r="AN73" i="28"/>
  <c r="AS73" i="28"/>
  <c r="CT73" i="28"/>
  <c r="CU73" i="28"/>
  <c r="AH55" i="28"/>
  <c r="AJ55" i="28"/>
  <c r="AL55" i="28"/>
  <c r="AN55" i="28"/>
  <c r="AS55" i="28"/>
  <c r="CT55" i="28"/>
  <c r="CU55" i="28"/>
  <c r="AH12" i="28"/>
  <c r="AJ12" i="28"/>
  <c r="AL12" i="28"/>
  <c r="AN12" i="28"/>
  <c r="AS12" i="28"/>
  <c r="CT12" i="28"/>
  <c r="AH9" i="28"/>
  <c r="AJ9" i="28"/>
  <c r="AL9" i="28"/>
  <c r="AN9" i="28"/>
  <c r="AS9" i="28"/>
  <c r="CT9" i="28"/>
  <c r="CU9" i="28"/>
  <c r="AH58" i="28"/>
  <c r="AJ58" i="28"/>
  <c r="AL58" i="28"/>
  <c r="AN58" i="28"/>
  <c r="AS58" i="28"/>
  <c r="CT58" i="28"/>
  <c r="CU58" i="28"/>
  <c r="AH11" i="28"/>
  <c r="AJ11" i="28"/>
  <c r="AL11" i="28"/>
  <c r="AN11" i="28"/>
  <c r="AS11" i="28"/>
  <c r="CT11" i="28"/>
  <c r="AH62" i="28"/>
  <c r="AJ62" i="28"/>
  <c r="AL62" i="28"/>
  <c r="AN62" i="28"/>
  <c r="AS62" i="28"/>
  <c r="CT62" i="28"/>
  <c r="CU62" i="28"/>
  <c r="AH23" i="28"/>
  <c r="AJ23" i="28"/>
  <c r="AL23" i="28"/>
  <c r="AN23" i="28"/>
  <c r="AS23" i="28"/>
  <c r="CT23" i="28"/>
  <c r="AH39" i="28"/>
  <c r="AJ39" i="28"/>
  <c r="AL39" i="28"/>
  <c r="AN39" i="28"/>
  <c r="AS39" i="28"/>
  <c r="CT39" i="28"/>
  <c r="CU39" i="28"/>
  <c r="AH25" i="28"/>
  <c r="AJ25" i="28"/>
  <c r="AL25" i="28"/>
  <c r="AN25" i="28"/>
  <c r="AS25" i="28"/>
  <c r="CT25" i="28"/>
  <c r="CU25" i="28"/>
  <c r="BB36" i="28"/>
  <c r="BC36" i="28"/>
  <c r="C36" i="32"/>
  <c r="H36" i="32"/>
  <c r="AH48" i="28"/>
  <c r="AJ48" i="28"/>
  <c r="AL48" i="28"/>
  <c r="AN48" i="28"/>
  <c r="AS48" i="28"/>
  <c r="CT48" i="28"/>
  <c r="CU48" i="28"/>
  <c r="AH26" i="28"/>
  <c r="AJ26" i="28"/>
  <c r="AL26" i="28"/>
  <c r="AN26" i="28"/>
  <c r="AS26" i="28"/>
  <c r="CT26" i="28"/>
  <c r="CU26" i="28"/>
  <c r="AH36" i="28"/>
  <c r="AJ36" i="28"/>
  <c r="AL36" i="28"/>
  <c r="AN36" i="28"/>
  <c r="AS36" i="28"/>
  <c r="CT36" i="28"/>
  <c r="CU36" i="28"/>
  <c r="BZ25" i="28"/>
  <c r="CB25" i="28"/>
  <c r="EB25" i="28"/>
  <c r="EC25" i="28"/>
  <c r="BN6" i="28"/>
  <c r="BO6" i="28"/>
  <c r="D6" i="32"/>
  <c r="I6" i="32"/>
  <c r="AH50" i="28"/>
  <c r="AJ50" i="28"/>
  <c r="AL50" i="28"/>
  <c r="AN50" i="28"/>
  <c r="AS50" i="28"/>
  <c r="CT50" i="28"/>
  <c r="CU50" i="28"/>
  <c r="AH84" i="28"/>
  <c r="AJ84" i="28"/>
  <c r="AL84" i="28"/>
  <c r="AN84" i="28"/>
  <c r="AS84" i="28"/>
  <c r="CT84" i="28"/>
  <c r="CU84" i="28"/>
  <c r="AH43" i="28"/>
  <c r="AJ43" i="28"/>
  <c r="AL43" i="28"/>
  <c r="AN43" i="28"/>
  <c r="AS43" i="28"/>
  <c r="CT43" i="28"/>
  <c r="CU43" i="28"/>
  <c r="AH14" i="28"/>
  <c r="AJ14" i="28"/>
  <c r="AL14" i="28"/>
  <c r="AN14" i="28"/>
  <c r="AS14" i="28"/>
  <c r="CT14" i="28"/>
  <c r="CU14" i="28"/>
  <c r="AH72" i="28"/>
  <c r="AJ72" i="28"/>
  <c r="AL72" i="28"/>
  <c r="AN72" i="28"/>
  <c r="AS72" i="28"/>
  <c r="CT72" i="28"/>
  <c r="CU72" i="28"/>
  <c r="AH16" i="28"/>
  <c r="AJ16" i="28"/>
  <c r="AL16" i="28"/>
  <c r="AN16" i="28"/>
  <c r="AS16" i="28"/>
  <c r="CT16" i="28"/>
  <c r="CU16" i="28"/>
  <c r="AH15" i="28"/>
  <c r="CP15" i="28"/>
  <c r="AH5" i="28"/>
  <c r="AJ5" i="28"/>
  <c r="AL5" i="28"/>
  <c r="AN5" i="28"/>
  <c r="AS5" i="28"/>
  <c r="CT5" i="28"/>
  <c r="CU5" i="28"/>
  <c r="AH81" i="28"/>
  <c r="AJ81" i="28"/>
  <c r="AL81" i="28"/>
  <c r="AN81" i="28"/>
  <c r="AS81" i="28"/>
  <c r="CT81" i="28"/>
  <c r="CU81" i="28"/>
  <c r="AH32" i="28"/>
  <c r="AJ32" i="28"/>
  <c r="AL32" i="28"/>
  <c r="AN32" i="28"/>
  <c r="AS32" i="28"/>
  <c r="CT32" i="28"/>
  <c r="CU32" i="28"/>
  <c r="AH69" i="28"/>
  <c r="AJ69" i="28"/>
  <c r="AL69" i="28"/>
  <c r="AN69" i="28"/>
  <c r="AS69" i="28"/>
  <c r="CT69" i="28"/>
  <c r="CU69" i="28"/>
  <c r="AH28" i="28"/>
  <c r="AJ28" i="28"/>
  <c r="AL28" i="28"/>
  <c r="AN28" i="28"/>
  <c r="AS28" i="28"/>
  <c r="CT28" i="28"/>
  <c r="CU28" i="28"/>
  <c r="BB15" i="28"/>
  <c r="BD15" i="28"/>
  <c r="DD15" i="28"/>
  <c r="DE15" i="28"/>
  <c r="DH15" i="28"/>
  <c r="DJ15" i="28"/>
  <c r="C15" i="31"/>
  <c r="H15" i="31"/>
  <c r="BZ32" i="28"/>
  <c r="F32" i="30"/>
  <c r="J32" i="30"/>
  <c r="AH13" i="28"/>
  <c r="AJ13" i="28"/>
  <c r="AL13" i="28"/>
  <c r="AN13" i="28"/>
  <c r="AS13" i="28"/>
  <c r="CT13" i="28"/>
  <c r="CU13" i="28"/>
  <c r="AH52" i="28"/>
  <c r="AJ52" i="28"/>
  <c r="AL52" i="28"/>
  <c r="AN52" i="28"/>
  <c r="AS52" i="28"/>
  <c r="CT52" i="28"/>
  <c r="CU52" i="28"/>
  <c r="BB52" i="28"/>
  <c r="BC52" i="28"/>
  <c r="C52" i="32"/>
  <c r="H52" i="32"/>
  <c r="BZ30" i="28"/>
  <c r="CB30" i="28"/>
  <c r="EB30" i="28"/>
  <c r="EC30" i="28"/>
  <c r="AH38" i="28"/>
  <c r="AJ38" i="28"/>
  <c r="AL38" i="28"/>
  <c r="AN38" i="28"/>
  <c r="AS38" i="28"/>
  <c r="CT38" i="28"/>
  <c r="CU38" i="28"/>
  <c r="AH66" i="28"/>
  <c r="AJ66" i="28"/>
  <c r="AL66" i="28"/>
  <c r="AN66" i="28"/>
  <c r="AS66" i="28"/>
  <c r="CT66" i="28"/>
  <c r="CU66" i="28"/>
  <c r="AH20" i="28"/>
  <c r="AJ20" i="28"/>
  <c r="AL20" i="28"/>
  <c r="AN20" i="28"/>
  <c r="AS20" i="28"/>
  <c r="CT20" i="28"/>
  <c r="CU20" i="28"/>
  <c r="AH47" i="28"/>
  <c r="AJ47" i="28"/>
  <c r="AL47" i="28"/>
  <c r="AN47" i="28"/>
  <c r="AS47" i="28"/>
  <c r="CT47" i="28"/>
  <c r="CU47" i="28"/>
  <c r="AH53" i="28"/>
  <c r="AJ53" i="28"/>
  <c r="AL53" i="28"/>
  <c r="AN53" i="28"/>
  <c r="AS53" i="28"/>
  <c r="CT53" i="28"/>
  <c r="CU53" i="28"/>
  <c r="AH61" i="28"/>
  <c r="AJ61" i="28"/>
  <c r="AL61" i="28"/>
  <c r="AN61" i="28"/>
  <c r="AS61" i="28"/>
  <c r="CT61" i="28"/>
  <c r="AH71" i="28"/>
  <c r="AJ71" i="28"/>
  <c r="AL71" i="28"/>
  <c r="AN71" i="28"/>
  <c r="AS71" i="28"/>
  <c r="CT71" i="28"/>
  <c r="CU71" i="28"/>
  <c r="AH51" i="28"/>
  <c r="AJ51" i="28"/>
  <c r="AL51" i="28"/>
  <c r="AN51" i="28"/>
  <c r="AS51" i="28"/>
  <c r="CT51" i="28"/>
  <c r="CU51" i="28"/>
  <c r="AH68" i="28"/>
  <c r="AJ68" i="28"/>
  <c r="AL68" i="28"/>
  <c r="AN68" i="28"/>
  <c r="AS68" i="28"/>
  <c r="CT68" i="28"/>
  <c r="CU68" i="28"/>
  <c r="AH45" i="28"/>
  <c r="AJ45" i="28"/>
  <c r="AL45" i="28"/>
  <c r="AN45" i="28"/>
  <c r="AS45" i="28"/>
  <c r="CT45" i="28"/>
  <c r="CU45" i="28"/>
  <c r="AH34" i="28"/>
  <c r="AJ34" i="28"/>
  <c r="AL34" i="28"/>
  <c r="AN34" i="28"/>
  <c r="AS34" i="28"/>
  <c r="CT34" i="28"/>
  <c r="CU34" i="28"/>
  <c r="AH35" i="28"/>
  <c r="AJ35" i="28"/>
  <c r="AL35" i="28"/>
  <c r="AN35" i="28"/>
  <c r="AS35" i="28"/>
  <c r="CT35" i="28"/>
  <c r="CU35" i="28"/>
  <c r="AH7" i="28"/>
  <c r="AJ7" i="28"/>
  <c r="AL7" i="28"/>
  <c r="AN7" i="28"/>
  <c r="AS7" i="28"/>
  <c r="CT7" i="28"/>
  <c r="AH31" i="28"/>
  <c r="AJ31" i="28"/>
  <c r="AL31" i="28"/>
  <c r="AN31" i="28"/>
  <c r="AS31" i="28"/>
  <c r="CT31" i="28"/>
  <c r="CU31" i="28"/>
  <c r="AH57" i="28"/>
  <c r="AJ57" i="28"/>
  <c r="AL57" i="28"/>
  <c r="AN57" i="28"/>
  <c r="AS57" i="28"/>
  <c r="CT57" i="28"/>
  <c r="CU57" i="28"/>
  <c r="AH46" i="28"/>
  <c r="AJ46" i="28"/>
  <c r="AL46" i="28"/>
  <c r="AN46" i="28"/>
  <c r="AS46" i="28"/>
  <c r="CT46" i="28"/>
  <c r="CU46" i="28"/>
  <c r="BN22" i="28"/>
  <c r="BO22" i="28"/>
  <c r="D22" i="32"/>
  <c r="I22" i="32"/>
  <c r="AH10" i="28"/>
  <c r="AJ10" i="28"/>
  <c r="AL10" i="28"/>
  <c r="AN10" i="28"/>
  <c r="AS10" i="28"/>
  <c r="CT10" i="28"/>
  <c r="CU10" i="28"/>
  <c r="BB39" i="28"/>
  <c r="BC39" i="28"/>
  <c r="C39" i="32"/>
  <c r="H39" i="32"/>
  <c r="AH41" i="28"/>
  <c r="AJ41" i="28"/>
  <c r="AL41" i="28"/>
  <c r="AN41" i="28"/>
  <c r="AS41" i="28"/>
  <c r="CT41" i="28"/>
  <c r="CU41" i="28"/>
  <c r="AH59" i="28"/>
  <c r="AJ59" i="28"/>
  <c r="AL59" i="28"/>
  <c r="AN59" i="28"/>
  <c r="AS59" i="28"/>
  <c r="CT59" i="28"/>
  <c r="CU59" i="28"/>
  <c r="AH6" i="28"/>
  <c r="AJ6" i="28"/>
  <c r="AL6" i="28"/>
  <c r="AN6" i="28"/>
  <c r="AS6" i="28"/>
  <c r="CT6" i="28"/>
  <c r="CU6" i="28"/>
  <c r="BB49" i="28"/>
  <c r="D49" i="30"/>
  <c r="H49" i="30"/>
  <c r="AH30" i="28"/>
  <c r="AJ30" i="28"/>
  <c r="AL30" i="28"/>
  <c r="AN30" i="28"/>
  <c r="AS30" i="28"/>
  <c r="CT30" i="28"/>
  <c r="CU30" i="28"/>
  <c r="AH60" i="28"/>
  <c r="AJ60" i="28"/>
  <c r="AL60" i="28"/>
  <c r="AN60" i="28"/>
  <c r="AS60" i="28"/>
  <c r="CT60" i="28"/>
  <c r="CU60" i="28"/>
  <c r="AH22" i="28"/>
  <c r="AJ22" i="28"/>
  <c r="AL22" i="28"/>
  <c r="AN22" i="28"/>
  <c r="AS22" i="28"/>
  <c r="CT22" i="28"/>
  <c r="CU22" i="28"/>
  <c r="AH70" i="28"/>
  <c r="AJ70" i="28"/>
  <c r="AL70" i="28"/>
  <c r="AN70" i="28"/>
  <c r="AS70" i="28"/>
  <c r="CT70" i="28"/>
  <c r="CU70" i="28"/>
  <c r="AH64" i="28"/>
  <c r="AJ64" i="28"/>
  <c r="AL64" i="28"/>
  <c r="AN64" i="28"/>
  <c r="AS64" i="28"/>
  <c r="CT64" i="28"/>
  <c r="CU64" i="28"/>
  <c r="AH27" i="28"/>
  <c r="AJ27" i="28"/>
  <c r="AL27" i="28"/>
  <c r="AN27" i="28"/>
  <c r="AS27" i="28"/>
  <c r="CT27" i="28"/>
  <c r="CU27" i="28"/>
  <c r="AH80" i="28"/>
  <c r="AJ80" i="28"/>
  <c r="AL80" i="28"/>
  <c r="AN80" i="28"/>
  <c r="AS80" i="28"/>
  <c r="CT80" i="28"/>
  <c r="CU80" i="28"/>
  <c r="AH37" i="28"/>
  <c r="AJ37" i="28"/>
  <c r="AL37" i="28"/>
  <c r="AN37" i="28"/>
  <c r="AS37" i="28"/>
  <c r="CT37" i="28"/>
  <c r="CU37" i="28"/>
  <c r="AH82" i="28"/>
  <c r="AJ82" i="28"/>
  <c r="AL82" i="28"/>
  <c r="AN82" i="28"/>
  <c r="AS82" i="28"/>
  <c r="CT82" i="28"/>
  <c r="CU82" i="28"/>
  <c r="AH17" i="28"/>
  <c r="AJ17" i="28"/>
  <c r="AL17" i="28"/>
  <c r="AN17" i="28"/>
  <c r="AS17" i="28"/>
  <c r="CT17" i="28"/>
  <c r="AH63" i="28"/>
  <c r="AJ63" i="28"/>
  <c r="AL63" i="28"/>
  <c r="AN63" i="28"/>
  <c r="AS63" i="28"/>
  <c r="CT63" i="28"/>
  <c r="CU63" i="28"/>
  <c r="AH85" i="28"/>
  <c r="AJ85" i="28"/>
  <c r="AL85" i="28"/>
  <c r="AN85" i="28"/>
  <c r="AS85" i="28"/>
  <c r="CT85" i="28"/>
  <c r="CU85" i="28"/>
  <c r="AH44" i="28"/>
  <c r="AJ44" i="28"/>
  <c r="AL44" i="28"/>
  <c r="AN44" i="28"/>
  <c r="AS44" i="28"/>
  <c r="CT44" i="28"/>
  <c r="CU44" i="28"/>
  <c r="AH18" i="28"/>
  <c r="AJ18" i="28"/>
  <c r="AL18" i="28"/>
  <c r="AN18" i="28"/>
  <c r="AS18" i="28"/>
  <c r="CT18" i="28"/>
  <c r="CU18" i="28"/>
  <c r="BB60" i="28"/>
  <c r="D60" i="30"/>
  <c r="H60" i="30"/>
  <c r="AH49" i="28"/>
  <c r="AJ49" i="28"/>
  <c r="AL49" i="28"/>
  <c r="AN49" i="28"/>
  <c r="AS49" i="28"/>
  <c r="CT49" i="28"/>
  <c r="CU49" i="28"/>
  <c r="D42" i="12"/>
  <c r="AB3" i="11"/>
  <c r="AA3" i="11"/>
  <c r="AB19" i="11"/>
  <c r="R19" i="11"/>
  <c r="S19" i="11"/>
  <c r="R20" i="11"/>
  <c r="S20" i="11"/>
  <c r="D19" i="11"/>
  <c r="F19" i="11"/>
  <c r="EO18" i="28"/>
  <c r="ES18" i="28"/>
  <c r="EU18" i="28"/>
  <c r="R22" i="11"/>
  <c r="S22" i="11"/>
  <c r="U22" i="11"/>
  <c r="R31" i="11"/>
  <c r="S31" i="11"/>
  <c r="U31" i="11"/>
  <c r="R42" i="11"/>
  <c r="S42" i="11"/>
  <c r="T42" i="11"/>
  <c r="R71" i="11"/>
  <c r="S71" i="11"/>
  <c r="U71" i="11"/>
  <c r="R114" i="11"/>
  <c r="S114" i="11"/>
  <c r="U114" i="11"/>
  <c r="R72" i="11"/>
  <c r="S72" i="11"/>
  <c r="U72" i="11"/>
  <c r="R101" i="11"/>
  <c r="S101" i="11"/>
  <c r="T101" i="11"/>
  <c r="R122" i="11"/>
  <c r="S122" i="11"/>
  <c r="U122" i="11"/>
  <c r="R148" i="11"/>
  <c r="S148" i="11"/>
  <c r="U148" i="11"/>
  <c r="R160" i="11"/>
  <c r="S160" i="11"/>
  <c r="U160" i="11"/>
  <c r="R143" i="11"/>
  <c r="S143" i="11"/>
  <c r="U143" i="11"/>
  <c r="R159" i="11"/>
  <c r="S159" i="11"/>
  <c r="U159" i="11"/>
  <c r="R176" i="11"/>
  <c r="S176" i="11"/>
  <c r="U176" i="11"/>
  <c r="R188" i="11"/>
  <c r="S188" i="11"/>
  <c r="T188" i="11"/>
  <c r="R169" i="11"/>
  <c r="S169" i="11"/>
  <c r="T169" i="11"/>
  <c r="R185" i="11"/>
  <c r="S185" i="11"/>
  <c r="T185" i="11"/>
  <c r="R210" i="11"/>
  <c r="S210" i="11"/>
  <c r="U210" i="11"/>
  <c r="R107" i="11"/>
  <c r="S107" i="11"/>
  <c r="U107" i="11"/>
  <c r="R127" i="11"/>
  <c r="S127" i="11"/>
  <c r="U127" i="11"/>
  <c r="R47" i="11"/>
  <c r="S47" i="11"/>
  <c r="U47" i="11"/>
  <c r="R91" i="11"/>
  <c r="S91" i="11"/>
  <c r="U91" i="11"/>
  <c r="R28" i="11"/>
  <c r="S28" i="11"/>
  <c r="U28" i="11"/>
  <c r="R44" i="11"/>
  <c r="S44" i="11"/>
  <c r="U44" i="11"/>
  <c r="R118" i="11"/>
  <c r="S118" i="11"/>
  <c r="U118" i="11"/>
  <c r="R129" i="11"/>
  <c r="S129" i="11"/>
  <c r="T129" i="11"/>
  <c r="R74" i="11"/>
  <c r="S74" i="11"/>
  <c r="U74" i="11"/>
  <c r="R94" i="11"/>
  <c r="S94" i="11"/>
  <c r="T94" i="11"/>
  <c r="R145" i="11"/>
  <c r="S145" i="11"/>
  <c r="T145" i="11"/>
  <c r="R178" i="11"/>
  <c r="S178" i="11"/>
  <c r="U178" i="11"/>
  <c r="R192" i="11"/>
  <c r="S192" i="11"/>
  <c r="T192" i="11"/>
  <c r="R171" i="11"/>
  <c r="S171" i="11"/>
  <c r="T171" i="11"/>
  <c r="R198" i="11"/>
  <c r="S198" i="11"/>
  <c r="U198" i="11"/>
  <c r="R54" i="11"/>
  <c r="S54" i="11"/>
  <c r="T54" i="11"/>
  <c r="R205" i="11"/>
  <c r="S205" i="11"/>
  <c r="U205" i="11"/>
  <c r="R35" i="11"/>
  <c r="S35" i="11"/>
  <c r="U35" i="11"/>
  <c r="R51" i="11"/>
  <c r="S51" i="11"/>
  <c r="U51" i="11"/>
  <c r="R30" i="11"/>
  <c r="S30" i="11"/>
  <c r="U30" i="11"/>
  <c r="R46" i="11"/>
  <c r="S46" i="11"/>
  <c r="U46" i="11"/>
  <c r="R59" i="11"/>
  <c r="S59" i="11"/>
  <c r="U59" i="11"/>
  <c r="R60" i="11"/>
  <c r="S60" i="11"/>
  <c r="U60" i="11"/>
  <c r="R76" i="11"/>
  <c r="S76" i="11"/>
  <c r="U76" i="11"/>
  <c r="R126" i="11"/>
  <c r="S126" i="11"/>
  <c r="U126" i="11"/>
  <c r="R144" i="11"/>
  <c r="S144" i="11"/>
  <c r="U144" i="11"/>
  <c r="R147" i="11"/>
  <c r="S147" i="11"/>
  <c r="T147" i="11"/>
  <c r="R164" i="11"/>
  <c r="S164" i="11"/>
  <c r="T164" i="11"/>
  <c r="R173" i="11"/>
  <c r="S173" i="11"/>
  <c r="T173" i="11"/>
  <c r="R197" i="11"/>
  <c r="S197" i="11"/>
  <c r="U197" i="11"/>
  <c r="R26" i="11"/>
  <c r="S26" i="11"/>
  <c r="R33" i="11"/>
  <c r="S33" i="11"/>
  <c r="R49" i="11"/>
  <c r="S49" i="11"/>
  <c r="R73" i="11"/>
  <c r="S73" i="11"/>
  <c r="R108" i="11"/>
  <c r="S108" i="11"/>
  <c r="R116" i="11"/>
  <c r="S116" i="11"/>
  <c r="R123" i="11"/>
  <c r="S123" i="11"/>
  <c r="R124" i="11"/>
  <c r="S124" i="11"/>
  <c r="R132" i="11"/>
  <c r="S132" i="11"/>
  <c r="R162" i="11"/>
  <c r="S162" i="11"/>
  <c r="R161" i="11"/>
  <c r="S161" i="11"/>
  <c r="R212" i="11"/>
  <c r="S212" i="11"/>
  <c r="R207" i="11"/>
  <c r="S207" i="11"/>
  <c r="R103" i="11"/>
  <c r="S103" i="11"/>
  <c r="R92" i="11"/>
  <c r="S92" i="11"/>
  <c r="R75" i="11"/>
  <c r="S75" i="11"/>
  <c r="R89" i="11"/>
  <c r="S89" i="11"/>
  <c r="R111" i="11"/>
  <c r="S111" i="11"/>
  <c r="R96" i="11"/>
  <c r="S96" i="11"/>
  <c r="R189" i="11"/>
  <c r="S189" i="11"/>
  <c r="R180" i="11"/>
  <c r="S180" i="11"/>
  <c r="R195" i="11"/>
  <c r="S195" i="11"/>
  <c r="R214" i="11"/>
  <c r="S214" i="11"/>
  <c r="R209" i="11"/>
  <c r="S209" i="11"/>
  <c r="R21" i="11"/>
  <c r="S21" i="11"/>
  <c r="R37" i="11"/>
  <c r="S37" i="11"/>
  <c r="R53" i="11"/>
  <c r="S53" i="11"/>
  <c r="R32" i="11"/>
  <c r="S32" i="11"/>
  <c r="R57" i="11"/>
  <c r="S57" i="11"/>
  <c r="R61" i="11"/>
  <c r="S61" i="11"/>
  <c r="R77" i="11"/>
  <c r="S77" i="11"/>
  <c r="R97" i="11"/>
  <c r="S97" i="11"/>
  <c r="R62" i="11"/>
  <c r="S62" i="11"/>
  <c r="R78" i="11"/>
  <c r="S78" i="11"/>
  <c r="R115" i="11"/>
  <c r="S115" i="11"/>
  <c r="R98" i="11"/>
  <c r="S98" i="11"/>
  <c r="R133" i="11"/>
  <c r="S133" i="11"/>
  <c r="R109" i="11"/>
  <c r="S109" i="11"/>
  <c r="R128" i="11"/>
  <c r="S128" i="11"/>
  <c r="R150" i="11"/>
  <c r="S150" i="11"/>
  <c r="R194" i="11"/>
  <c r="S194" i="11"/>
  <c r="R149" i="11"/>
  <c r="S149" i="11"/>
  <c r="R166" i="11"/>
  <c r="S166" i="11"/>
  <c r="R182" i="11"/>
  <c r="S182" i="11"/>
  <c r="R196" i="11"/>
  <c r="S196" i="11"/>
  <c r="R175" i="11"/>
  <c r="S175" i="11"/>
  <c r="R191" i="11"/>
  <c r="S191" i="11"/>
  <c r="R216" i="11"/>
  <c r="S216" i="11"/>
  <c r="R211" i="11"/>
  <c r="S211" i="11"/>
  <c r="P5" i="11"/>
  <c r="P7" i="11"/>
  <c r="P9" i="11"/>
  <c r="P14" i="11"/>
  <c r="R23" i="11"/>
  <c r="S23" i="11"/>
  <c r="R39" i="11"/>
  <c r="S39" i="11"/>
  <c r="R55" i="11"/>
  <c r="S55" i="11"/>
  <c r="R34" i="11"/>
  <c r="S34" i="11"/>
  <c r="R99" i="11"/>
  <c r="S99" i="11"/>
  <c r="R63" i="11"/>
  <c r="S63" i="11"/>
  <c r="R79" i="11"/>
  <c r="S79" i="11"/>
  <c r="R105" i="11"/>
  <c r="S105" i="11"/>
  <c r="R64" i="11"/>
  <c r="S64" i="11"/>
  <c r="R80" i="11"/>
  <c r="S80" i="11"/>
  <c r="R119" i="11"/>
  <c r="S119" i="11"/>
  <c r="R100" i="11"/>
  <c r="S100" i="11"/>
  <c r="R136" i="11"/>
  <c r="S136" i="11"/>
  <c r="R110" i="11"/>
  <c r="S110" i="11"/>
  <c r="R130" i="11"/>
  <c r="S130" i="11"/>
  <c r="R152" i="11"/>
  <c r="S152" i="11"/>
  <c r="R186" i="11"/>
  <c r="S186" i="11"/>
  <c r="R151" i="11"/>
  <c r="S151" i="11"/>
  <c r="R168" i="11"/>
  <c r="S168" i="11"/>
  <c r="R184" i="11"/>
  <c r="S184" i="11"/>
  <c r="R202" i="11"/>
  <c r="S202" i="11"/>
  <c r="R177" i="11"/>
  <c r="S177" i="11"/>
  <c r="R193" i="11"/>
  <c r="S193" i="11"/>
  <c r="R218" i="11"/>
  <c r="S218" i="11"/>
  <c r="R213" i="11"/>
  <c r="S213" i="11"/>
  <c r="R10" i="11"/>
  <c r="R11" i="11"/>
  <c r="R25" i="11"/>
  <c r="S25" i="11"/>
  <c r="R41" i="11"/>
  <c r="S41" i="11"/>
  <c r="R56" i="11"/>
  <c r="S56" i="11"/>
  <c r="R36" i="11"/>
  <c r="S36" i="11"/>
  <c r="R48" i="11"/>
  <c r="S48" i="11"/>
  <c r="R65" i="11"/>
  <c r="S65" i="11"/>
  <c r="R81" i="11"/>
  <c r="S81" i="11"/>
  <c r="R86" i="11"/>
  <c r="S86" i="11"/>
  <c r="R66" i="11"/>
  <c r="S66" i="11"/>
  <c r="R82" i="11"/>
  <c r="S82" i="11"/>
  <c r="R125" i="11"/>
  <c r="S125" i="11"/>
  <c r="R102" i="11"/>
  <c r="S102" i="11"/>
  <c r="R113" i="11"/>
  <c r="S113" i="11"/>
  <c r="R134" i="11"/>
  <c r="S134" i="11"/>
  <c r="R142" i="11"/>
  <c r="S142" i="11"/>
  <c r="R154" i="11"/>
  <c r="S154" i="11"/>
  <c r="R137" i="11"/>
  <c r="S137" i="11"/>
  <c r="R153" i="11"/>
  <c r="S153" i="11"/>
  <c r="R170" i="11"/>
  <c r="S170" i="11"/>
  <c r="R187" i="11"/>
  <c r="S187" i="11"/>
  <c r="R163" i="11"/>
  <c r="S163" i="11"/>
  <c r="R179" i="11"/>
  <c r="S179" i="11"/>
  <c r="R204" i="11"/>
  <c r="S204" i="11"/>
  <c r="R199" i="11"/>
  <c r="S199" i="11"/>
  <c r="R215" i="11"/>
  <c r="S215" i="11"/>
  <c r="R140" i="11"/>
  <c r="S140" i="11"/>
  <c r="R27" i="11"/>
  <c r="S27" i="11"/>
  <c r="R43" i="11"/>
  <c r="S43" i="11"/>
  <c r="R58" i="11"/>
  <c r="S58" i="11"/>
  <c r="R38" i="11"/>
  <c r="S38" i="11"/>
  <c r="R50" i="11"/>
  <c r="S50" i="11"/>
  <c r="R67" i="11"/>
  <c r="S67" i="11"/>
  <c r="R83" i="11"/>
  <c r="S83" i="11"/>
  <c r="R87" i="11"/>
  <c r="S87" i="11"/>
  <c r="R68" i="11"/>
  <c r="S68" i="11"/>
  <c r="R84" i="11"/>
  <c r="S84" i="11"/>
  <c r="R88" i="11"/>
  <c r="S88" i="11"/>
  <c r="R104" i="11"/>
  <c r="S104" i="11"/>
  <c r="R117" i="11"/>
  <c r="S117" i="11"/>
  <c r="R135" i="11"/>
  <c r="S135" i="11"/>
  <c r="R131" i="11"/>
  <c r="S131" i="11"/>
  <c r="R156" i="11"/>
  <c r="S156" i="11"/>
  <c r="R139" i="11"/>
  <c r="S139" i="11"/>
  <c r="R155" i="11"/>
  <c r="S155" i="11"/>
  <c r="R172" i="11"/>
  <c r="S172" i="11"/>
  <c r="R190" i="11"/>
  <c r="S190" i="11"/>
  <c r="R165" i="11"/>
  <c r="S165" i="11"/>
  <c r="R181" i="11"/>
  <c r="S181" i="11"/>
  <c r="R206" i="11"/>
  <c r="S206" i="11"/>
  <c r="R201" i="11"/>
  <c r="S201" i="11"/>
  <c r="R217" i="11"/>
  <c r="S217" i="11"/>
  <c r="R112" i="11"/>
  <c r="S112" i="11"/>
  <c r="T10" i="11"/>
  <c r="T11" i="11"/>
  <c r="R120" i="11"/>
  <c r="S120" i="11"/>
  <c r="S10" i="11"/>
  <c r="S11" i="11"/>
  <c r="R29" i="11"/>
  <c r="S29" i="11"/>
  <c r="R45" i="11"/>
  <c r="S45" i="11"/>
  <c r="R24" i="11"/>
  <c r="S24" i="11"/>
  <c r="R40" i="11"/>
  <c r="S40" i="11"/>
  <c r="R52" i="11"/>
  <c r="S52" i="11"/>
  <c r="R69" i="11"/>
  <c r="S69" i="11"/>
  <c r="R85" i="11"/>
  <c r="S85" i="11"/>
  <c r="R95" i="11"/>
  <c r="S95" i="11"/>
  <c r="R70" i="11"/>
  <c r="S70" i="11"/>
  <c r="R93" i="11"/>
  <c r="S93" i="11"/>
  <c r="R90" i="11"/>
  <c r="S90" i="11"/>
  <c r="R106" i="11"/>
  <c r="S106" i="11"/>
  <c r="R121" i="11"/>
  <c r="S121" i="11"/>
  <c r="R146" i="11"/>
  <c r="S146" i="11"/>
  <c r="R138" i="11"/>
  <c r="S138" i="11"/>
  <c r="R158" i="11"/>
  <c r="S158" i="11"/>
  <c r="R141" i="11"/>
  <c r="S141" i="11"/>
  <c r="R157" i="11"/>
  <c r="S157" i="11"/>
  <c r="R174" i="11"/>
  <c r="S174" i="11"/>
  <c r="R200" i="11"/>
  <c r="S200" i="11"/>
  <c r="R167" i="11"/>
  <c r="S167" i="11"/>
  <c r="R183" i="11"/>
  <c r="S183" i="11"/>
  <c r="R208" i="11"/>
  <c r="S208" i="11"/>
  <c r="R203" i="11"/>
  <c r="S203" i="11"/>
  <c r="R219" i="11"/>
  <c r="S219" i="11"/>
  <c r="R24" i="31"/>
  <c r="DO12" i="28"/>
  <c r="DW12" i="28"/>
  <c r="DC26" i="28"/>
  <c r="DK26" i="28"/>
  <c r="CQ65" i="28"/>
  <c r="CY65" i="28"/>
  <c r="EA12" i="28"/>
  <c r="EI12" i="28"/>
  <c r="CQ54" i="28"/>
  <c r="CY54" i="28"/>
  <c r="CQ74" i="28"/>
  <c r="CY74" i="28"/>
  <c r="CQ67" i="28"/>
  <c r="CY67" i="28"/>
  <c r="CQ77" i="28"/>
  <c r="CY77" i="28"/>
  <c r="EG4" i="28"/>
  <c r="AC6" i="28"/>
  <c r="K109" i="32"/>
  <c r="BA59" i="28"/>
  <c r="EO6" i="28"/>
  <c r="ES6" i="28"/>
  <c r="EU6" i="28"/>
  <c r="BM15" i="28"/>
  <c r="AC61" i="28"/>
  <c r="BY6" i="28"/>
  <c r="DG24" i="28"/>
  <c r="DI24" i="28"/>
  <c r="BA6" i="28"/>
  <c r="BA24" i="28"/>
  <c r="BY24" i="28"/>
  <c r="AC49" i="28"/>
  <c r="EO13" i="28"/>
  <c r="ES13" i="28"/>
  <c r="EU13" i="28"/>
  <c r="EO10" i="28"/>
  <c r="ES10" i="28"/>
  <c r="EU10" i="28"/>
  <c r="BA30" i="28"/>
  <c r="AC13" i="28"/>
  <c r="AC10" i="28"/>
  <c r="BA26" i="28"/>
  <c r="BA46" i="28"/>
  <c r="AC67" i="28"/>
  <c r="BM13" i="28"/>
  <c r="AC59" i="28"/>
  <c r="AC77" i="28"/>
  <c r="AC52" i="28"/>
  <c r="BA41" i="28"/>
  <c r="AC70" i="28"/>
  <c r="BA13" i="28"/>
  <c r="AC25" i="28"/>
  <c r="BA61" i="28"/>
  <c r="AC74" i="28"/>
  <c r="BA28" i="28"/>
  <c r="AC83" i="28"/>
  <c r="BY12" i="28"/>
  <c r="EX88" i="28"/>
  <c r="Q88" i="31"/>
  <c r="BM14" i="28"/>
  <c r="BY43" i="28"/>
  <c r="AC5" i="28"/>
  <c r="AC73" i="28"/>
  <c r="AC41" i="28"/>
  <c r="AC65" i="28"/>
  <c r="BA19" i="28"/>
  <c r="D48" i="30"/>
  <c r="H48" i="30"/>
  <c r="BC48" i="28"/>
  <c r="C48" i="32"/>
  <c r="H48" i="32"/>
  <c r="AC64" i="28"/>
  <c r="BY42" i="28"/>
  <c r="BY15" i="28"/>
  <c r="BY41" i="28"/>
  <c r="BM16" i="28"/>
  <c r="BY37" i="28"/>
  <c r="AC28" i="28"/>
  <c r="AC48" i="28"/>
  <c r="AC18" i="28"/>
  <c r="AC85" i="28"/>
  <c r="AC79" i="28"/>
  <c r="BA40" i="28"/>
  <c r="K92" i="30"/>
  <c r="EO5" i="28"/>
  <c r="ES5" i="28"/>
  <c r="EU5" i="28"/>
  <c r="DG18" i="28"/>
  <c r="DI18" i="28"/>
  <c r="BY22" i="28"/>
  <c r="BD48" i="28"/>
  <c r="DD48" i="28"/>
  <c r="DE48" i="28"/>
  <c r="AC51" i="28"/>
  <c r="AC24" i="28"/>
  <c r="AC26" i="28"/>
  <c r="AC16" i="28"/>
  <c r="AC81" i="28"/>
  <c r="AC33" i="28"/>
  <c r="CP10" i="28"/>
  <c r="AC39" i="28"/>
  <c r="EW88" i="28"/>
  <c r="K88" i="31"/>
  <c r="AI10" i="28"/>
  <c r="AK10" i="28"/>
  <c r="AM10" i="28"/>
  <c r="AC84" i="28"/>
  <c r="BA25" i="28"/>
  <c r="BA18" i="28"/>
  <c r="BM18" i="28"/>
  <c r="BA32" i="28"/>
  <c r="AC69" i="28"/>
  <c r="CP33" i="28"/>
  <c r="AJ33" i="28"/>
  <c r="AL33" i="28"/>
  <c r="AN33" i="28"/>
  <c r="AS33" i="28"/>
  <c r="CT33" i="28"/>
  <c r="CU33" i="28"/>
  <c r="AC40" i="28"/>
  <c r="AC22" i="28"/>
  <c r="AJ15" i="28"/>
  <c r="AL15" i="28"/>
  <c r="AN15" i="28"/>
  <c r="AS15" i="28"/>
  <c r="CT15" i="28"/>
  <c r="CU15" i="28"/>
  <c r="EO15" i="28"/>
  <c r="ES15" i="28"/>
  <c r="EU15" i="28"/>
  <c r="AI5" i="28"/>
  <c r="AK5" i="28"/>
  <c r="AM5" i="28"/>
  <c r="AC78" i="28"/>
  <c r="K97" i="32"/>
  <c r="L97" i="32"/>
  <c r="K112" i="32"/>
  <c r="L112" i="32"/>
  <c r="AI40" i="28"/>
  <c r="AK40" i="28"/>
  <c r="AM40" i="28"/>
  <c r="AJ40" i="28"/>
  <c r="AL40" i="28"/>
  <c r="AN40" i="28"/>
  <c r="AS40" i="28"/>
  <c r="CT40" i="28"/>
  <c r="CU40" i="28"/>
  <c r="K114" i="32"/>
  <c r="L114" i="32"/>
  <c r="AI83" i="28"/>
  <c r="AK83" i="28"/>
  <c r="AM83" i="28"/>
  <c r="AJ83" i="28"/>
  <c r="AL83" i="28"/>
  <c r="AN83" i="28"/>
  <c r="AS83" i="28"/>
  <c r="CT83" i="28"/>
  <c r="CU83" i="28"/>
  <c r="AI86" i="28"/>
  <c r="AK86" i="28"/>
  <c r="AM86" i="28"/>
  <c r="AJ86" i="28"/>
  <c r="AL86" i="28"/>
  <c r="AN86" i="28"/>
  <c r="AS86" i="28"/>
  <c r="CT86" i="28"/>
  <c r="CU86" i="28"/>
  <c r="AC44" i="28"/>
  <c r="BM5" i="28"/>
  <c r="K93" i="32"/>
  <c r="L93" i="32"/>
  <c r="K92" i="32"/>
  <c r="L92" i="32"/>
  <c r="AI8" i="28"/>
  <c r="AK8" i="28"/>
  <c r="AM8" i="28"/>
  <c r="AJ8" i="28"/>
  <c r="AL8" i="28"/>
  <c r="AN8" i="28"/>
  <c r="AS8" i="28"/>
  <c r="CT8" i="28"/>
  <c r="CP79" i="28"/>
  <c r="AJ79" i="28"/>
  <c r="AL79" i="28"/>
  <c r="AN79" i="28"/>
  <c r="AS79" i="28"/>
  <c r="CT79" i="28"/>
  <c r="CU79" i="28"/>
  <c r="AI4" i="28"/>
  <c r="AK4" i="28"/>
  <c r="AM4" i="28"/>
  <c r="AJ4" i="28"/>
  <c r="AL4" i="28"/>
  <c r="AN4" i="28"/>
  <c r="AS4" i="28"/>
  <c r="CT4" i="28"/>
  <c r="CU4" i="28"/>
  <c r="AI32" i="28"/>
  <c r="AK32" i="28"/>
  <c r="AM32" i="28"/>
  <c r="BY39" i="28"/>
  <c r="BM10" i="28"/>
  <c r="K100" i="32"/>
  <c r="K110" i="32"/>
  <c r="BM12" i="28"/>
  <c r="BM23" i="28"/>
  <c r="AI33" i="28"/>
  <c r="AK33" i="28"/>
  <c r="AM33" i="28"/>
  <c r="CP86" i="28"/>
  <c r="BY40" i="28"/>
  <c r="BY9" i="28"/>
  <c r="EX92" i="28"/>
  <c r="Q92" i="31"/>
  <c r="AC76" i="28"/>
  <c r="K106" i="32"/>
  <c r="EW92" i="28"/>
  <c r="K92" i="31"/>
  <c r="AC68" i="28"/>
  <c r="AC46" i="28"/>
  <c r="AC14" i="28"/>
  <c r="CP83" i="28"/>
  <c r="AC86" i="28"/>
  <c r="AC80" i="28"/>
  <c r="BY18" i="28"/>
  <c r="BZ18" i="28"/>
  <c r="AC15" i="28"/>
  <c r="D10" i="30"/>
  <c r="H10" i="30"/>
  <c r="BC10" i="28"/>
  <c r="C10" i="32"/>
  <c r="H10" i="32"/>
  <c r="AC56" i="28"/>
  <c r="BA51" i="28"/>
  <c r="K89" i="32"/>
  <c r="K99" i="32"/>
  <c r="BA57" i="28"/>
  <c r="BD14" i="28"/>
  <c r="DD14" i="28"/>
  <c r="DE14" i="28"/>
  <c r="DH14" i="28"/>
  <c r="DJ14" i="28"/>
  <c r="C14" i="31"/>
  <c r="H14" i="31"/>
  <c r="D14" i="30"/>
  <c r="H14" i="30"/>
  <c r="K102" i="32"/>
  <c r="BY14" i="28"/>
  <c r="BY34" i="28"/>
  <c r="K98" i="32"/>
  <c r="K101" i="32"/>
  <c r="K111" i="32"/>
  <c r="K96" i="32"/>
  <c r="BY10" i="28"/>
  <c r="BZ10" i="28"/>
  <c r="BC44" i="28"/>
  <c r="C44" i="32"/>
  <c r="H44" i="32"/>
  <c r="D44" i="30"/>
  <c r="H44" i="30"/>
  <c r="BD44" i="28"/>
  <c r="DD44" i="28"/>
  <c r="DE44" i="28"/>
  <c r="K105" i="32"/>
  <c r="K94" i="32"/>
  <c r="K91" i="32"/>
  <c r="K90" i="32"/>
  <c r="K93" i="30"/>
  <c r="M93" i="30"/>
  <c r="BD10" i="28"/>
  <c r="DD10" i="28"/>
  <c r="DE10" i="28"/>
  <c r="DH10" i="28"/>
  <c r="DJ10" i="28"/>
  <c r="C10" i="31"/>
  <c r="H10" i="31"/>
  <c r="K114" i="30"/>
  <c r="M114" i="30"/>
  <c r="K87" i="32"/>
  <c r="K95" i="32"/>
  <c r="K103" i="32"/>
  <c r="AC42" i="28"/>
  <c r="K89" i="30"/>
  <c r="M89" i="30"/>
  <c r="AC11" i="28"/>
  <c r="AC34" i="28"/>
  <c r="BA42" i="28"/>
  <c r="AC21" i="28"/>
  <c r="BM7" i="28"/>
  <c r="BC14" i="28"/>
  <c r="C14" i="32"/>
  <c r="H14" i="32"/>
  <c r="BA21" i="28"/>
  <c r="BA11" i="28"/>
  <c r="AC72" i="28"/>
  <c r="AC29" i="28"/>
  <c r="BA33" i="28"/>
  <c r="BB33" i="28"/>
  <c r="BY5" i="28"/>
  <c r="BZ5" i="28"/>
  <c r="BA5" i="28"/>
  <c r="AC54" i="28"/>
  <c r="AD54" i="28"/>
  <c r="BM9" i="28"/>
  <c r="AC31" i="28"/>
  <c r="BY33" i="28"/>
  <c r="BZ33" i="28"/>
  <c r="BY23" i="28"/>
  <c r="CP40" i="28"/>
  <c r="BA54" i="28"/>
  <c r="BB54" i="28"/>
  <c r="BM4" i="28"/>
  <c r="AC75" i="28"/>
  <c r="BA34" i="28"/>
  <c r="BY36" i="28"/>
  <c r="BZ36" i="28"/>
  <c r="AC32" i="28"/>
  <c r="AD32" i="28"/>
  <c r="EG12" i="28"/>
  <c r="DI26" i="28"/>
  <c r="AC4" i="28"/>
  <c r="AD4" i="28"/>
  <c r="AC55" i="28"/>
  <c r="AD55" i="28"/>
  <c r="AC63" i="28"/>
  <c r="AD63" i="28"/>
  <c r="AC36" i="28"/>
  <c r="AG79" i="28"/>
  <c r="CH79" i="28"/>
  <c r="CI79" i="28"/>
  <c r="CK79" i="28"/>
  <c r="AC47" i="28"/>
  <c r="DU12" i="28"/>
  <c r="CW77" i="28"/>
  <c r="AC37" i="28"/>
  <c r="BA27" i="28"/>
  <c r="AO74" i="28"/>
  <c r="AP74" i="28"/>
  <c r="BA20" i="28"/>
  <c r="BA35" i="28"/>
  <c r="AC45" i="28"/>
  <c r="AC9" i="28"/>
  <c r="AC17" i="28"/>
  <c r="AO67" i="28"/>
  <c r="AP67" i="28"/>
  <c r="AO65" i="28"/>
  <c r="BA37" i="28"/>
  <c r="CW74" i="28"/>
  <c r="AO78" i="28"/>
  <c r="BY27" i="28"/>
  <c r="AC57" i="28"/>
  <c r="AI79" i="28"/>
  <c r="AK79" i="28"/>
  <c r="AM79" i="28"/>
  <c r="EE21" i="28"/>
  <c r="DG6" i="28"/>
  <c r="DI6" i="28"/>
  <c r="DG22" i="28"/>
  <c r="DI22" i="28"/>
  <c r="EE20" i="28"/>
  <c r="AI75" i="28"/>
  <c r="AK75" i="28"/>
  <c r="AM75" i="28"/>
  <c r="BY21" i="28"/>
  <c r="BZ21" i="28"/>
  <c r="DS17" i="28"/>
  <c r="DG17" i="28"/>
  <c r="DI17" i="28"/>
  <c r="DG38" i="28"/>
  <c r="CW54" i="28"/>
  <c r="AC82" i="28"/>
  <c r="AD82" i="28"/>
  <c r="BM21" i="28"/>
  <c r="BN21" i="28"/>
  <c r="EO11" i="28"/>
  <c r="ES11" i="28"/>
  <c r="EU11" i="28"/>
  <c r="DS11" i="28"/>
  <c r="DU11" i="28"/>
  <c r="AI35" i="28"/>
  <c r="AK35" i="28"/>
  <c r="AM35" i="28"/>
  <c r="CP31" i="28"/>
  <c r="CY31" i="28"/>
  <c r="EE44" i="28"/>
  <c r="DS21" i="28"/>
  <c r="CP21" i="28"/>
  <c r="CY21" i="28"/>
  <c r="CA11" i="28"/>
  <c r="E11" i="32"/>
  <c r="J11" i="32"/>
  <c r="F11" i="30"/>
  <c r="J11" i="30"/>
  <c r="CB11" i="28"/>
  <c r="EB11" i="28"/>
  <c r="EE31" i="28"/>
  <c r="BY31" i="28"/>
  <c r="BZ31" i="28"/>
  <c r="AC7" i="28"/>
  <c r="AD7" i="28"/>
  <c r="BY4" i="28"/>
  <c r="BZ4" i="28"/>
  <c r="DG16" i="28"/>
  <c r="DI16" i="28"/>
  <c r="EO19" i="28"/>
  <c r="ES19" i="28"/>
  <c r="EU19" i="28"/>
  <c r="DG23" i="28"/>
  <c r="DI23" i="28"/>
  <c r="AO54" i="28"/>
  <c r="AP54" i="28"/>
  <c r="BO20" i="28"/>
  <c r="D20" i="32"/>
  <c r="I20" i="32"/>
  <c r="E20" i="30"/>
  <c r="I20" i="30"/>
  <c r="BP20" i="28"/>
  <c r="DP20" i="28"/>
  <c r="DG45" i="28"/>
  <c r="DS7" i="28"/>
  <c r="DU7" i="28"/>
  <c r="BC9" i="28"/>
  <c r="C9" i="32"/>
  <c r="H9" i="32"/>
  <c r="D9" i="30"/>
  <c r="H9" i="30"/>
  <c r="BD9" i="28"/>
  <c r="DD9" i="28"/>
  <c r="BA53" i="28"/>
  <c r="BB53" i="28"/>
  <c r="AC53" i="28"/>
  <c r="AD53" i="28"/>
  <c r="EO21" i="28"/>
  <c r="ES21" i="28"/>
  <c r="EU21" i="28"/>
  <c r="AC30" i="28"/>
  <c r="AD30" i="28"/>
  <c r="AI66" i="28"/>
  <c r="AK66" i="28"/>
  <c r="AM66" i="28"/>
  <c r="EO20" i="28"/>
  <c r="ES20" i="28"/>
  <c r="EU20" i="28"/>
  <c r="AC60" i="28"/>
  <c r="AD60" i="28"/>
  <c r="DG53" i="28"/>
  <c r="BY19" i="28"/>
  <c r="BZ19" i="28"/>
  <c r="AC43" i="28"/>
  <c r="AD43" i="28"/>
  <c r="BY35" i="28"/>
  <c r="BZ35" i="28"/>
  <c r="BA45" i="28"/>
  <c r="BB45" i="28"/>
  <c r="DG7" i="28"/>
  <c r="DI7" i="28"/>
  <c r="BA22" i="28"/>
  <c r="BB22" i="28"/>
  <c r="AC12" i="28"/>
  <c r="AD12" i="28"/>
  <c r="EE29" i="28"/>
  <c r="CW65" i="28"/>
  <c r="AC27" i="28"/>
  <c r="AD27" i="28"/>
  <c r="CA13" i="28"/>
  <c r="E13" i="32"/>
  <c r="J13" i="32"/>
  <c r="CB13" i="28"/>
  <c r="EB13" i="28"/>
  <c r="F13" i="30"/>
  <c r="J13" i="30"/>
  <c r="BC12" i="28"/>
  <c r="C12" i="32"/>
  <c r="H12" i="32"/>
  <c r="D12" i="30"/>
  <c r="H12" i="30"/>
  <c r="BD12" i="28"/>
  <c r="DD12" i="28"/>
  <c r="BA47" i="28"/>
  <c r="BB47" i="28"/>
  <c r="R4" i="31"/>
  <c r="EO4" i="28"/>
  <c r="ES4" i="28"/>
  <c r="EU4" i="28"/>
  <c r="BC4" i="28"/>
  <c r="C4" i="32"/>
  <c r="H4" i="32"/>
  <c r="D4" i="30"/>
  <c r="H4" i="30"/>
  <c r="BD4" i="28"/>
  <c r="DD4" i="28"/>
  <c r="DE4" i="28"/>
  <c r="DH4" i="28"/>
  <c r="DJ4" i="28"/>
  <c r="AC58" i="28"/>
  <c r="AD58" i="28"/>
  <c r="BY7" i="28"/>
  <c r="BZ7" i="28"/>
  <c r="DG42" i="28"/>
  <c r="BA17" i="28"/>
  <c r="BB17" i="28"/>
  <c r="EO7" i="28"/>
  <c r="ES7" i="28"/>
  <c r="EU7" i="28"/>
  <c r="BA7" i="28"/>
  <c r="BB7" i="28"/>
  <c r="EE23" i="28"/>
  <c r="CP50" i="28"/>
  <c r="EE27" i="28"/>
  <c r="DG35" i="28"/>
  <c r="D43" i="30"/>
  <c r="H43" i="30"/>
  <c r="BC43" i="28"/>
  <c r="C43" i="32"/>
  <c r="H43" i="32"/>
  <c r="BD43" i="28"/>
  <c r="DD43" i="28"/>
  <c r="AC62" i="28"/>
  <c r="AD62" i="28"/>
  <c r="EO12" i="28"/>
  <c r="ES12" i="28"/>
  <c r="EU12" i="28"/>
  <c r="D50" i="30"/>
  <c r="H50" i="30"/>
  <c r="BD50" i="28"/>
  <c r="DD50" i="28"/>
  <c r="BC50" i="28"/>
  <c r="C50" i="32"/>
  <c r="H50" i="32"/>
  <c r="AI58" i="28"/>
  <c r="AK58" i="28"/>
  <c r="AM58" i="28"/>
  <c r="EO14" i="28"/>
  <c r="ES14" i="28"/>
  <c r="EU14" i="28"/>
  <c r="AC71" i="28"/>
  <c r="AD71" i="28"/>
  <c r="AC20" i="28"/>
  <c r="AD20" i="28"/>
  <c r="EE42" i="28"/>
  <c r="AC35" i="28"/>
  <c r="AD35" i="28"/>
  <c r="DG62" i="28"/>
  <c r="EU23" i="28"/>
  <c r="EE8" i="28"/>
  <c r="EG8" i="28"/>
  <c r="DG37" i="28"/>
  <c r="AC50" i="28"/>
  <c r="AD50" i="28"/>
  <c r="DG27" i="28"/>
  <c r="F16" i="30"/>
  <c r="J16" i="30"/>
  <c r="CA16" i="28"/>
  <c r="E16" i="32"/>
  <c r="J16" i="32"/>
  <c r="CB16" i="28"/>
  <c r="EB16" i="28"/>
  <c r="BY20" i="28"/>
  <c r="BZ20" i="28"/>
  <c r="BY29" i="28"/>
  <c r="BZ29" i="28"/>
  <c r="DS4" i="28"/>
  <c r="DU4" i="28"/>
  <c r="DG21" i="28"/>
  <c r="DI21" i="28"/>
  <c r="EO16" i="28"/>
  <c r="ES16" i="28"/>
  <c r="EU16" i="28"/>
  <c r="F26" i="30"/>
  <c r="J26" i="30"/>
  <c r="CB26" i="28"/>
  <c r="EB26" i="28"/>
  <c r="CA26" i="28"/>
  <c r="E26" i="32"/>
  <c r="J26" i="32"/>
  <c r="DG11" i="28"/>
  <c r="DI11" i="28"/>
  <c r="BM17" i="28"/>
  <c r="BN17" i="28"/>
  <c r="BA29" i="28"/>
  <c r="BB29" i="28"/>
  <c r="BY38" i="28"/>
  <c r="BZ38" i="28"/>
  <c r="DS24" i="28"/>
  <c r="DG20" i="28"/>
  <c r="DI20" i="28"/>
  <c r="BA31" i="28"/>
  <c r="BB31" i="28"/>
  <c r="CB28" i="28"/>
  <c r="EB28" i="28"/>
  <c r="F28" i="30"/>
  <c r="J28" i="30"/>
  <c r="CA28" i="28"/>
  <c r="E28" i="32"/>
  <c r="J28" i="32"/>
  <c r="EE35" i="28"/>
  <c r="AC66" i="28"/>
  <c r="AD66" i="28"/>
  <c r="CP61" i="28"/>
  <c r="AC19" i="28"/>
  <c r="AD19" i="28"/>
  <c r="BA38" i="28"/>
  <c r="BB38" i="28"/>
  <c r="BA58" i="28"/>
  <c r="BB58" i="28"/>
  <c r="CU24" i="28"/>
  <c r="AC23" i="28"/>
  <c r="AD23" i="28"/>
  <c r="BA23" i="28"/>
  <c r="BB23" i="28"/>
  <c r="CP4" i="28"/>
  <c r="CY4" i="28"/>
  <c r="BM11" i="28"/>
  <c r="BN11" i="28"/>
  <c r="AI84" i="28"/>
  <c r="AK84" i="28"/>
  <c r="AM84" i="28"/>
  <c r="EE34" i="28"/>
  <c r="BD56" i="28"/>
  <c r="DD56" i="28"/>
  <c r="D56" i="30"/>
  <c r="H56" i="30"/>
  <c r="BC56" i="28"/>
  <c r="C56" i="32"/>
  <c r="H56" i="32"/>
  <c r="CB17" i="28"/>
  <c r="EB17" i="28"/>
  <c r="F17" i="30"/>
  <c r="J17" i="30"/>
  <c r="CA17" i="28"/>
  <c r="E17" i="32"/>
  <c r="J17" i="32"/>
  <c r="BA16" i="28"/>
  <c r="BB16" i="28"/>
  <c r="EO22" i="28"/>
  <c r="ES22" i="28"/>
  <c r="EU22" i="28"/>
  <c r="EE19" i="28"/>
  <c r="CP55" i="28"/>
  <c r="CY55" i="28"/>
  <c r="AI55" i="28"/>
  <c r="AK55" i="28"/>
  <c r="AM55" i="28"/>
  <c r="CP19" i="28"/>
  <c r="CY19" i="28"/>
  <c r="AI19" i="28"/>
  <c r="AK19" i="28"/>
  <c r="AM19" i="28"/>
  <c r="AC38" i="28"/>
  <c r="AD38" i="28"/>
  <c r="DG29" i="28"/>
  <c r="EE7" i="28"/>
  <c r="EG7" i="28"/>
  <c r="DG34" i="28"/>
  <c r="EO9" i="28"/>
  <c r="ES9" i="28"/>
  <c r="EU9" i="28"/>
  <c r="E19" i="30"/>
  <c r="I19" i="30"/>
  <c r="BP19" i="28"/>
  <c r="DP19" i="28"/>
  <c r="BO19" i="28"/>
  <c r="D19" i="32"/>
  <c r="I19" i="32"/>
  <c r="EO17" i="28"/>
  <c r="ES17" i="28"/>
  <c r="EU17" i="28"/>
  <c r="CP11" i="28"/>
  <c r="CY11" i="28"/>
  <c r="BD55" i="28"/>
  <c r="DD55" i="28"/>
  <c r="D55" i="30"/>
  <c r="H55" i="30"/>
  <c r="BC55" i="28"/>
  <c r="C55" i="32"/>
  <c r="H55" i="32"/>
  <c r="CW67" i="28"/>
  <c r="DG57" i="28"/>
  <c r="AD7" i="11"/>
  <c r="AD9" i="11"/>
  <c r="AE7" i="11"/>
  <c r="AE9" i="11"/>
  <c r="AC7" i="11"/>
  <c r="AC9" i="11"/>
  <c r="Z125" i="11"/>
  <c r="AB125" i="11"/>
  <c r="Z192" i="11"/>
  <c r="AB192" i="11"/>
  <c r="Z124" i="11"/>
  <c r="AB124" i="11"/>
  <c r="Z164" i="11"/>
  <c r="AB164" i="11"/>
  <c r="Z203" i="11"/>
  <c r="AB203" i="11"/>
  <c r="Z142" i="11"/>
  <c r="AB142" i="11"/>
  <c r="Z144" i="11"/>
  <c r="AB144" i="11"/>
  <c r="Z126" i="11"/>
  <c r="AB126" i="11"/>
  <c r="Z213" i="11"/>
  <c r="AB213" i="11"/>
  <c r="Z215" i="11"/>
  <c r="AB215" i="11"/>
  <c r="Z137" i="11"/>
  <c r="AB137" i="11"/>
  <c r="Z122" i="11"/>
  <c r="AB122" i="11"/>
  <c r="Z177" i="11"/>
  <c r="AB177" i="11"/>
  <c r="Z207" i="11"/>
  <c r="AB207" i="11"/>
  <c r="Z196" i="11"/>
  <c r="AB196" i="11"/>
  <c r="Z219" i="11"/>
  <c r="AB219" i="11"/>
  <c r="Z209" i="11"/>
  <c r="AB209" i="11"/>
  <c r="Z162" i="11"/>
  <c r="AB162" i="11"/>
  <c r="Z214" i="11"/>
  <c r="AB214" i="11"/>
  <c r="Z176" i="11"/>
  <c r="AB176" i="11"/>
  <c r="Z145" i="11"/>
  <c r="AB145" i="11"/>
  <c r="Z141" i="11"/>
  <c r="AB141" i="11"/>
  <c r="Z191" i="11"/>
  <c r="AB191" i="11"/>
  <c r="Z123" i="11"/>
  <c r="AB123" i="11"/>
  <c r="Z187" i="11"/>
  <c r="AB187" i="11"/>
  <c r="Z175" i="11"/>
  <c r="AB175" i="11"/>
  <c r="Z182" i="11"/>
  <c r="AB182" i="11"/>
  <c r="Z157" i="11"/>
  <c r="AB157" i="11"/>
  <c r="Z150" i="11"/>
  <c r="AB150" i="11"/>
  <c r="Z216" i="11"/>
  <c r="AB216" i="11"/>
  <c r="Z155" i="11"/>
  <c r="AB155" i="11"/>
  <c r="Z199" i="11"/>
  <c r="AB199" i="11"/>
  <c r="Z168" i="11"/>
  <c r="AB168" i="11"/>
  <c r="Z127" i="11"/>
  <c r="AB127" i="11"/>
  <c r="Z183" i="11"/>
  <c r="AB183" i="11"/>
  <c r="Z190" i="11"/>
  <c r="AB190" i="11"/>
  <c r="Z218" i="11"/>
  <c r="AB218" i="11"/>
  <c r="Z202" i="11"/>
  <c r="AB202" i="11"/>
  <c r="Z195" i="11"/>
  <c r="AB195" i="11"/>
  <c r="Z206" i="11"/>
  <c r="AB206" i="11"/>
  <c r="Z179" i="11"/>
  <c r="AB179" i="11"/>
  <c r="Z170" i="11"/>
  <c r="AB170" i="11"/>
  <c r="Z194" i="11"/>
  <c r="AB194" i="11"/>
  <c r="Z193" i="11"/>
  <c r="AB193" i="11"/>
  <c r="Z205" i="11"/>
  <c r="AB205" i="11"/>
  <c r="Z161" i="11"/>
  <c r="AB161" i="11"/>
  <c r="Z208" i="11"/>
  <c r="AB208" i="11"/>
  <c r="Z160" i="11"/>
  <c r="AB160" i="11"/>
  <c r="Z169" i="11"/>
  <c r="AB169" i="11"/>
  <c r="Z151" i="11"/>
  <c r="AB151" i="11"/>
  <c r="Z132" i="11"/>
  <c r="AB132" i="11"/>
  <c r="Z198" i="11"/>
  <c r="AB198" i="11"/>
  <c r="Z129" i="11"/>
  <c r="AB129" i="11"/>
  <c r="Z148" i="11"/>
  <c r="AB148" i="11"/>
  <c r="Z200" i="11"/>
  <c r="AB200" i="11"/>
  <c r="Z184" i="11"/>
  <c r="AB184" i="11"/>
  <c r="Z212" i="11"/>
  <c r="AB212" i="11"/>
  <c r="Z173" i="11"/>
  <c r="AB173" i="11"/>
  <c r="Z133" i="11"/>
  <c r="AB133" i="11"/>
  <c r="Z130" i="11"/>
  <c r="AB130" i="11"/>
  <c r="Z158" i="11"/>
  <c r="AB158" i="11"/>
  <c r="Z201" i="11"/>
  <c r="AB201" i="11"/>
  <c r="Z153" i="11"/>
  <c r="AB153" i="11"/>
  <c r="Z128" i="11"/>
  <c r="AB128" i="11"/>
  <c r="Z165" i="11"/>
  <c r="AB165" i="11"/>
  <c r="Z159" i="11"/>
  <c r="AB159" i="11"/>
  <c r="Z166" i="11"/>
  <c r="AB166" i="11"/>
  <c r="Z178" i="11"/>
  <c r="AB178" i="11"/>
  <c r="Z189" i="11"/>
  <c r="AB189" i="11"/>
  <c r="Z185" i="11"/>
  <c r="AB185" i="11"/>
  <c r="Z197" i="11"/>
  <c r="AB197" i="11"/>
  <c r="Z171" i="11"/>
  <c r="AB171" i="11"/>
  <c r="Z152" i="11"/>
  <c r="AB152" i="11"/>
  <c r="Z172" i="11"/>
  <c r="AB172" i="11"/>
  <c r="Z163" i="11"/>
  <c r="AB163" i="11"/>
  <c r="Z154" i="11"/>
  <c r="AB154" i="11"/>
  <c r="Z147" i="11"/>
  <c r="AB147" i="11"/>
  <c r="Z136" i="11"/>
  <c r="AB136" i="11"/>
  <c r="Z135" i="11"/>
  <c r="AB135" i="11"/>
  <c r="Z180" i="11"/>
  <c r="AB180" i="11"/>
  <c r="Z188" i="11"/>
  <c r="AB188" i="11"/>
  <c r="Z140" i="11"/>
  <c r="AB140" i="11"/>
  <c r="Z217" i="11"/>
  <c r="AB217" i="11"/>
  <c r="Z211" i="11"/>
  <c r="AB211" i="11"/>
  <c r="Z156" i="11"/>
  <c r="AB156" i="11"/>
  <c r="Z181" i="11"/>
  <c r="AB181" i="11"/>
  <c r="Z204" i="11"/>
  <c r="AB204" i="11"/>
  <c r="Z167" i="11"/>
  <c r="AB167" i="11"/>
  <c r="Z131" i="11"/>
  <c r="AB131" i="11"/>
  <c r="Z174" i="11"/>
  <c r="AB174" i="11"/>
  <c r="Z210" i="11"/>
  <c r="AB210" i="11"/>
  <c r="Z139" i="11"/>
  <c r="AB139" i="11"/>
  <c r="Z149" i="11"/>
  <c r="AB149" i="11"/>
  <c r="Z134" i="11"/>
  <c r="AB134" i="11"/>
  <c r="Z146" i="11"/>
  <c r="AB146" i="11"/>
  <c r="Z186" i="11"/>
  <c r="AB186" i="11"/>
  <c r="Z143" i="11"/>
  <c r="AB143" i="11"/>
  <c r="Z138" i="11"/>
  <c r="AB138" i="11"/>
  <c r="EX111" i="28"/>
  <c r="Q111" i="31"/>
  <c r="EW104" i="28"/>
  <c r="K104" i="31"/>
  <c r="EW111" i="28"/>
  <c r="K111" i="31"/>
  <c r="EX107" i="28"/>
  <c r="Q107" i="31"/>
  <c r="EW107" i="28"/>
  <c r="K107" i="31"/>
  <c r="EW95" i="28"/>
  <c r="K95" i="31"/>
  <c r="EW103" i="28"/>
  <c r="K103" i="31"/>
  <c r="EX104" i="28"/>
  <c r="Q104" i="31"/>
  <c r="EX102" i="28"/>
  <c r="Q102" i="31"/>
  <c r="F102" i="31"/>
  <c r="L102" i="31"/>
  <c r="EV112" i="28"/>
  <c r="F112" i="31"/>
  <c r="L112" i="31"/>
  <c r="EW101" i="28"/>
  <c r="K101" i="31"/>
  <c r="F101" i="31"/>
  <c r="L101" i="31"/>
  <c r="EX99" i="28"/>
  <c r="Q99" i="31"/>
  <c r="EW100" i="28"/>
  <c r="K100" i="31"/>
  <c r="EX96" i="28"/>
  <c r="Q96" i="31"/>
  <c r="F94" i="31"/>
  <c r="L94" i="31"/>
  <c r="EW109" i="28"/>
  <c r="K109" i="31"/>
  <c r="EX110" i="28"/>
  <c r="Q110" i="31"/>
  <c r="F110" i="31"/>
  <c r="L110" i="31"/>
  <c r="EW91" i="28"/>
  <c r="K91" i="31"/>
  <c r="F91" i="31"/>
  <c r="L91" i="31"/>
  <c r="F113" i="31"/>
  <c r="L113" i="31"/>
  <c r="EW96" i="28"/>
  <c r="K96" i="31"/>
  <c r="EW102" i="28"/>
  <c r="K102" i="31"/>
  <c r="EX87" i="28"/>
  <c r="Q87" i="31"/>
  <c r="Q4" i="11"/>
  <c r="Q6" i="11"/>
  <c r="Q5" i="11"/>
  <c r="Q7" i="11"/>
  <c r="EW114" i="28"/>
  <c r="K114" i="31"/>
  <c r="F114" i="31"/>
  <c r="L114" i="31"/>
  <c r="EW87" i="28"/>
  <c r="K87" i="31"/>
  <c r="EX95" i="28"/>
  <c r="Q95" i="31"/>
  <c r="D31" i="12"/>
  <c r="EW90" i="28"/>
  <c r="K90" i="31"/>
  <c r="F90" i="31"/>
  <c r="L90" i="31"/>
  <c r="EW105" i="28"/>
  <c r="K105" i="31"/>
  <c r="F105" i="31"/>
  <c r="L105" i="31"/>
  <c r="EW89" i="28"/>
  <c r="K89" i="31"/>
  <c r="F89" i="31"/>
  <c r="L89" i="31"/>
  <c r="EX106" i="28"/>
  <c r="Q106" i="31"/>
  <c r="EX108" i="28"/>
  <c r="Q108" i="31"/>
  <c r="EX103" i="28"/>
  <c r="Q103" i="31"/>
  <c r="EW99" i="28"/>
  <c r="K99" i="31"/>
  <c r="EW97" i="28"/>
  <c r="K97" i="31"/>
  <c r="F97" i="31"/>
  <c r="L97" i="31"/>
  <c r="EW106" i="28"/>
  <c r="K106" i="31"/>
  <c r="EW108" i="28"/>
  <c r="K108" i="31"/>
  <c r="EW93" i="28"/>
  <c r="K93" i="31"/>
  <c r="F93" i="31"/>
  <c r="L93" i="31"/>
  <c r="EW98" i="28"/>
  <c r="K98" i="31"/>
  <c r="F98" i="31"/>
  <c r="L98" i="31"/>
  <c r="EX100" i="28"/>
  <c r="Q100" i="31"/>
  <c r="AC8" i="28"/>
  <c r="CK8" i="28"/>
  <c r="BY8" i="28"/>
  <c r="CP8" i="28"/>
  <c r="CY8" i="28"/>
  <c r="BA8" i="28"/>
  <c r="BE8" i="28"/>
  <c r="DF8" i="28"/>
  <c r="BM8" i="28"/>
  <c r="BQ8" i="28"/>
  <c r="DR8" i="28"/>
  <c r="DS8" i="28"/>
  <c r="EO8" i="28"/>
  <c r="ES8" i="28"/>
  <c r="EU8" i="28"/>
  <c r="E24" i="29"/>
  <c r="I24" i="29"/>
  <c r="F44" i="29"/>
  <c r="J44" i="29"/>
  <c r="D62" i="29"/>
  <c r="H62" i="29"/>
  <c r="ER24" i="28"/>
  <c r="ET24" i="28"/>
  <c r="AW62" i="28"/>
  <c r="AY62" i="28"/>
  <c r="BA62" i="28"/>
  <c r="BB62" i="28"/>
  <c r="AT64" i="28"/>
  <c r="AV64" i="28"/>
  <c r="AX63" i="28"/>
  <c r="AZ63" i="28"/>
  <c r="BE63" i="28"/>
  <c r="DF63" i="28"/>
  <c r="AU63" i="28"/>
  <c r="BU44" i="28"/>
  <c r="BW44" i="28"/>
  <c r="BY44" i="28"/>
  <c r="BZ44" i="28"/>
  <c r="EO24" i="28"/>
  <c r="ES24" i="28"/>
  <c r="DB27" i="28"/>
  <c r="BR46" i="28"/>
  <c r="BT46" i="28"/>
  <c r="BV45" i="28"/>
  <c r="BX45" i="28"/>
  <c r="CC45" i="28"/>
  <c r="ED45" i="28"/>
  <c r="BS45" i="28"/>
  <c r="EL26" i="28"/>
  <c r="EQ25" i="28"/>
  <c r="EP25" i="28"/>
  <c r="EM25" i="28"/>
  <c r="EN25" i="28"/>
  <c r="BI24" i="28"/>
  <c r="BK24" i="28"/>
  <c r="BM24" i="28"/>
  <c r="BN24" i="28"/>
  <c r="BF26" i="28"/>
  <c r="BH26" i="28"/>
  <c r="BG25" i="28"/>
  <c r="BJ25" i="28"/>
  <c r="BL25" i="28"/>
  <c r="BQ25" i="28"/>
  <c r="DR25" i="28"/>
  <c r="K110" i="31"/>
  <c r="DZ13" i="28"/>
  <c r="DN13" i="28"/>
  <c r="BD36" i="28"/>
  <c r="DD36" i="28"/>
  <c r="DE36" i="28"/>
  <c r="CP47" i="28"/>
  <c r="CY47" i="28"/>
  <c r="CP30" i="28"/>
  <c r="CY30" i="28"/>
  <c r="CP16" i="28"/>
  <c r="CQ16" i="28"/>
  <c r="CP32" i="28"/>
  <c r="AI46" i="28"/>
  <c r="AK46" i="28"/>
  <c r="AM46" i="28"/>
  <c r="AI41" i="28"/>
  <c r="AK41" i="28"/>
  <c r="AM41" i="28"/>
  <c r="AI36" i="28"/>
  <c r="AK36" i="28"/>
  <c r="AM36" i="28"/>
  <c r="AO36" i="28"/>
  <c r="AP36" i="28"/>
  <c r="AQ36" i="28"/>
  <c r="AI82" i="28"/>
  <c r="AK82" i="28"/>
  <c r="AM82" i="28"/>
  <c r="CP35" i="28"/>
  <c r="CA32" i="28"/>
  <c r="E32" i="32"/>
  <c r="J32" i="32"/>
  <c r="CP25" i="28"/>
  <c r="CQ25" i="28"/>
  <c r="CP34" i="28"/>
  <c r="CP73" i="28"/>
  <c r="AI85" i="28"/>
  <c r="AK85" i="28"/>
  <c r="AM85" i="28"/>
  <c r="AI81" i="28"/>
  <c r="AK81" i="28"/>
  <c r="AM81" i="28"/>
  <c r="AO81" i="28"/>
  <c r="AP81" i="28"/>
  <c r="EX109" i="28"/>
  <c r="Q109" i="31"/>
  <c r="EX94" i="28"/>
  <c r="Q94" i="31"/>
  <c r="AI20" i="28"/>
  <c r="AK20" i="28"/>
  <c r="AM20" i="28"/>
  <c r="AI44" i="28"/>
  <c r="AK44" i="28"/>
  <c r="AM44" i="28"/>
  <c r="AO44" i="28"/>
  <c r="EW94" i="28"/>
  <c r="K94" i="31"/>
  <c r="CP72" i="28"/>
  <c r="AI71" i="28"/>
  <c r="AK71" i="28"/>
  <c r="AM71" i="28"/>
  <c r="CW78" i="28"/>
  <c r="BD39" i="28"/>
  <c r="DD39" i="28"/>
  <c r="DE39" i="28"/>
  <c r="K88" i="32"/>
  <c r="CP44" i="28"/>
  <c r="CY78" i="28"/>
  <c r="AI7" i="28"/>
  <c r="AK7" i="28"/>
  <c r="AM7" i="28"/>
  <c r="AI69" i="28"/>
  <c r="AK69" i="28"/>
  <c r="AM69" i="28"/>
  <c r="AO69" i="28"/>
  <c r="AP69" i="28"/>
  <c r="AQ69" i="28"/>
  <c r="K109" i="30"/>
  <c r="K108" i="30"/>
  <c r="M108" i="30"/>
  <c r="CP42" i="28"/>
  <c r="CP43" i="28"/>
  <c r="CP62" i="28"/>
  <c r="CY62" i="28"/>
  <c r="D36" i="30"/>
  <c r="H36" i="30"/>
  <c r="E22" i="30"/>
  <c r="I22" i="30"/>
  <c r="AI59" i="28"/>
  <c r="AK59" i="28"/>
  <c r="AM59" i="28"/>
  <c r="EW113" i="28"/>
  <c r="K113" i="31"/>
  <c r="CP29" i="28"/>
  <c r="CY29" i="28"/>
  <c r="CP68" i="28"/>
  <c r="CY68" i="28"/>
  <c r="AI38" i="28"/>
  <c r="AK38" i="28"/>
  <c r="AM38" i="28"/>
  <c r="CP13" i="28"/>
  <c r="CQ13" i="28"/>
  <c r="K104" i="30"/>
  <c r="M104" i="30"/>
  <c r="K113" i="30"/>
  <c r="M113" i="30"/>
  <c r="L107" i="32"/>
  <c r="K107" i="32"/>
  <c r="CP84" i="28"/>
  <c r="CY84" i="28"/>
  <c r="AI64" i="28"/>
  <c r="AK64" i="28"/>
  <c r="AM64" i="28"/>
  <c r="AO64" i="28"/>
  <c r="AP64" i="28"/>
  <c r="AI17" i="28"/>
  <c r="AK17" i="28"/>
  <c r="AM17" i="28"/>
  <c r="CP60" i="28"/>
  <c r="CY60" i="28"/>
  <c r="CP51" i="28"/>
  <c r="CY51" i="28"/>
  <c r="AI12" i="28"/>
  <c r="AK12" i="28"/>
  <c r="AM12" i="28"/>
  <c r="AO12" i="28"/>
  <c r="AI16" i="28"/>
  <c r="AK16" i="28"/>
  <c r="AM16" i="28"/>
  <c r="AI53" i="28"/>
  <c r="AK53" i="28"/>
  <c r="AM53" i="28"/>
  <c r="AI11" i="28"/>
  <c r="AK11" i="28"/>
  <c r="AM11" i="28"/>
  <c r="CW24" i="28"/>
  <c r="CP64" i="28"/>
  <c r="AI43" i="28"/>
  <c r="AK43" i="28"/>
  <c r="AM43" i="28"/>
  <c r="AI60" i="28"/>
  <c r="AK60" i="28"/>
  <c r="AM60" i="28"/>
  <c r="CP82" i="28"/>
  <c r="CY82" i="28"/>
  <c r="AI47" i="28"/>
  <c r="AK47" i="28"/>
  <c r="AM47" i="28"/>
  <c r="AI51" i="28"/>
  <c r="AK51" i="28"/>
  <c r="AM51" i="28"/>
  <c r="AO51" i="28"/>
  <c r="CP12" i="28"/>
  <c r="CY12" i="28"/>
  <c r="AI29" i="28"/>
  <c r="AK29" i="28"/>
  <c r="AM29" i="28"/>
  <c r="AO29" i="28"/>
  <c r="AI30" i="28"/>
  <c r="AK30" i="28"/>
  <c r="AM30" i="28"/>
  <c r="AI68" i="28"/>
  <c r="AK68" i="28"/>
  <c r="AM68" i="28"/>
  <c r="AI62" i="28"/>
  <c r="AK62" i="28"/>
  <c r="AM62" i="28"/>
  <c r="CP53" i="28"/>
  <c r="CY53" i="28"/>
  <c r="AI21" i="28"/>
  <c r="AK21" i="28"/>
  <c r="AM21" i="28"/>
  <c r="F25" i="30"/>
  <c r="J25" i="30"/>
  <c r="CB32" i="28"/>
  <c r="EB32" i="28"/>
  <c r="EC32" i="28"/>
  <c r="AI25" i="28"/>
  <c r="AK25" i="28"/>
  <c r="AM25" i="28"/>
  <c r="AO25" i="28"/>
  <c r="F30" i="30"/>
  <c r="J30" i="30"/>
  <c r="CP69" i="28"/>
  <c r="CY69" i="28"/>
  <c r="CP46" i="28"/>
  <c r="CP59" i="28"/>
  <c r="CY59" i="28"/>
  <c r="CQ24" i="28"/>
  <c r="AI42" i="28"/>
  <c r="AK42" i="28"/>
  <c r="AM42" i="28"/>
  <c r="AO42" i="28"/>
  <c r="CP17" i="28"/>
  <c r="CY17" i="28"/>
  <c r="CP7" i="28"/>
  <c r="CY7" i="28"/>
  <c r="AI27" i="28"/>
  <c r="AK27" i="28"/>
  <c r="AM27" i="28"/>
  <c r="CP38" i="28"/>
  <c r="CY38" i="28"/>
  <c r="BP22" i="28"/>
  <c r="DP22" i="28"/>
  <c r="DQ22" i="28"/>
  <c r="CA25" i="28"/>
  <c r="E25" i="32"/>
  <c r="J25" i="32"/>
  <c r="AI15" i="28"/>
  <c r="AK15" i="28"/>
  <c r="AM15" i="28"/>
  <c r="AI18" i="28"/>
  <c r="AK18" i="28"/>
  <c r="AM18" i="28"/>
  <c r="AO18" i="28"/>
  <c r="AI13" i="28"/>
  <c r="AK13" i="28"/>
  <c r="AM13" i="28"/>
  <c r="AO13" i="28"/>
  <c r="AP13" i="28"/>
  <c r="AR13" i="28"/>
  <c r="CR13" i="28"/>
  <c r="CS13" i="28"/>
  <c r="CP27" i="28"/>
  <c r="CY27" i="28"/>
  <c r="CA30" i="28"/>
  <c r="E30" i="32"/>
  <c r="J30" i="32"/>
  <c r="CP18" i="28"/>
  <c r="CY18" i="28"/>
  <c r="CP41" i="28"/>
  <c r="CP36" i="28"/>
  <c r="CY36" i="28"/>
  <c r="CP71" i="28"/>
  <c r="CY71" i="28"/>
  <c r="CP57" i="28"/>
  <c r="CY57" i="28"/>
  <c r="CP20" i="28"/>
  <c r="CY20" i="28"/>
  <c r="AI70" i="28"/>
  <c r="AK70" i="28"/>
  <c r="AM70" i="28"/>
  <c r="AO70" i="28"/>
  <c r="D15" i="30"/>
  <c r="H15" i="30"/>
  <c r="BD49" i="28"/>
  <c r="DD49" i="28"/>
  <c r="DE49" i="28"/>
  <c r="AI34" i="28"/>
  <c r="AK34" i="28"/>
  <c r="AM34" i="28"/>
  <c r="CP58" i="28"/>
  <c r="CY58" i="28"/>
  <c r="AI50" i="28"/>
  <c r="AK50" i="28"/>
  <c r="AM50" i="28"/>
  <c r="CP56" i="28"/>
  <c r="CQ56" i="28"/>
  <c r="BC49" i="28"/>
  <c r="C49" i="32"/>
  <c r="H49" i="32"/>
  <c r="CP81" i="28"/>
  <c r="CY81" i="28"/>
  <c r="AI39" i="28"/>
  <c r="AK39" i="28"/>
  <c r="AM39" i="28"/>
  <c r="BD52" i="28"/>
  <c r="DD52" i="28"/>
  <c r="DE52" i="28"/>
  <c r="AI48" i="28"/>
  <c r="AK48" i="28"/>
  <c r="AM48" i="28"/>
  <c r="AI49" i="28"/>
  <c r="AK49" i="28"/>
  <c r="AM49" i="28"/>
  <c r="AO49" i="28"/>
  <c r="AP49" i="28"/>
  <c r="CP6" i="28"/>
  <c r="CQ76" i="28"/>
  <c r="AI72" i="28"/>
  <c r="AK72" i="28"/>
  <c r="AM72" i="28"/>
  <c r="AI73" i="28"/>
  <c r="AK73" i="28"/>
  <c r="AM73" i="28"/>
  <c r="AO73" i="28"/>
  <c r="AP73" i="28"/>
  <c r="CP85" i="28"/>
  <c r="CY85" i="28"/>
  <c r="AI37" i="28"/>
  <c r="AK37" i="28"/>
  <c r="AM37" i="28"/>
  <c r="AO37" i="28"/>
  <c r="AP37" i="28"/>
  <c r="CW76" i="28"/>
  <c r="CP9" i="28"/>
  <c r="CY9" i="28"/>
  <c r="AI57" i="28"/>
  <c r="AK57" i="28"/>
  <c r="AM57" i="28"/>
  <c r="CP37" i="28"/>
  <c r="CY37" i="28"/>
  <c r="CP70" i="28"/>
  <c r="CY70" i="28"/>
  <c r="AI56" i="28"/>
  <c r="AK56" i="28"/>
  <c r="AM56" i="28"/>
  <c r="AO56" i="28"/>
  <c r="AP56" i="28"/>
  <c r="BC15" i="28"/>
  <c r="C15" i="32"/>
  <c r="H15" i="32"/>
  <c r="D39" i="30"/>
  <c r="H39" i="30"/>
  <c r="D52" i="30"/>
  <c r="H52" i="30"/>
  <c r="CP39" i="28"/>
  <c r="CY39" i="28"/>
  <c r="CP26" i="28"/>
  <c r="AI26" i="28"/>
  <c r="AK26" i="28"/>
  <c r="AM26" i="28"/>
  <c r="AO26" i="28"/>
  <c r="AP26" i="28"/>
  <c r="CP49" i="28"/>
  <c r="AI9" i="28"/>
  <c r="AK9" i="28"/>
  <c r="AM9" i="28"/>
  <c r="AO9" i="28"/>
  <c r="CP22" i="28"/>
  <c r="CY22" i="28"/>
  <c r="CP14" i="28"/>
  <c r="CY14" i="28"/>
  <c r="CP66" i="28"/>
  <c r="CY66" i="28"/>
  <c r="AI63" i="28"/>
  <c r="AK63" i="28"/>
  <c r="AM63" i="28"/>
  <c r="AO63" i="28"/>
  <c r="CP75" i="28"/>
  <c r="CY75" i="28"/>
  <c r="BC60" i="28"/>
  <c r="C60" i="32"/>
  <c r="H60" i="32"/>
  <c r="CP5" i="28"/>
  <c r="CQ5" i="28"/>
  <c r="AI28" i="28"/>
  <c r="AK28" i="28"/>
  <c r="AM28" i="28"/>
  <c r="AO28" i="28"/>
  <c r="AP28" i="28"/>
  <c r="AQ28" i="28"/>
  <c r="CP45" i="28"/>
  <c r="AI22" i="28"/>
  <c r="AK22" i="28"/>
  <c r="AM22" i="28"/>
  <c r="AO22" i="28"/>
  <c r="CP23" i="28"/>
  <c r="CY23" i="28"/>
  <c r="AI14" i="28"/>
  <c r="AK14" i="28"/>
  <c r="AM14" i="28"/>
  <c r="AO14" i="28"/>
  <c r="AP14" i="28"/>
  <c r="AI80" i="28"/>
  <c r="AK80" i="28"/>
  <c r="AM80" i="28"/>
  <c r="CP63" i="28"/>
  <c r="CY63" i="28"/>
  <c r="E6" i="30"/>
  <c r="I6" i="30"/>
  <c r="CP48" i="28"/>
  <c r="CQ48" i="28"/>
  <c r="CP28" i="28"/>
  <c r="AI6" i="28"/>
  <c r="AK6" i="28"/>
  <c r="AM6" i="28"/>
  <c r="AO6" i="28"/>
  <c r="AP6" i="28"/>
  <c r="AI61" i="28"/>
  <c r="AK61" i="28"/>
  <c r="AM61" i="28"/>
  <c r="AO61" i="28"/>
  <c r="AI45" i="28"/>
  <c r="AK45" i="28"/>
  <c r="AM45" i="28"/>
  <c r="AO45" i="28"/>
  <c r="AP45" i="28"/>
  <c r="AI23" i="28"/>
  <c r="AK23" i="28"/>
  <c r="AM23" i="28"/>
  <c r="CP80" i="28"/>
  <c r="CQ80" i="28"/>
  <c r="AI31" i="28"/>
  <c r="AK31" i="28"/>
  <c r="AM31" i="28"/>
  <c r="AO31" i="28"/>
  <c r="BP6" i="28"/>
  <c r="DP6" i="28"/>
  <c r="DQ6" i="28"/>
  <c r="DT6" i="28"/>
  <c r="DV6" i="28"/>
  <c r="D6" i="31"/>
  <c r="I6" i="31"/>
  <c r="BD60" i="28"/>
  <c r="DD60" i="28"/>
  <c r="DE60" i="28"/>
  <c r="AI52" i="28"/>
  <c r="AK52" i="28"/>
  <c r="AM52" i="28"/>
  <c r="AO52" i="28"/>
  <c r="CP52" i="28"/>
  <c r="CY52" i="28"/>
  <c r="CY15" i="28"/>
  <c r="CQ15" i="28"/>
  <c r="AD57" i="28"/>
  <c r="AE57" i="28"/>
  <c r="BB37" i="28"/>
  <c r="BC37" i="28"/>
  <c r="C37" i="32"/>
  <c r="H37" i="32"/>
  <c r="AD17" i="28"/>
  <c r="AF17" i="28"/>
  <c r="CF17" i="28"/>
  <c r="CG17" i="28"/>
  <c r="CJ17" i="28"/>
  <c r="CL17" i="28"/>
  <c r="BB35" i="28"/>
  <c r="D35" i="30"/>
  <c r="H35" i="30"/>
  <c r="AD37" i="28"/>
  <c r="AE37" i="28"/>
  <c r="AD31" i="28"/>
  <c r="AE31" i="28"/>
  <c r="BB5" i="28"/>
  <c r="BC5" i="28"/>
  <c r="C5" i="32"/>
  <c r="H5" i="32"/>
  <c r="AD72" i="28"/>
  <c r="AE72" i="28"/>
  <c r="AD11" i="28"/>
  <c r="AF11" i="28"/>
  <c r="CF11" i="28"/>
  <c r="CG11" i="28"/>
  <c r="CJ11" i="28"/>
  <c r="CL11" i="28"/>
  <c r="AD68" i="28"/>
  <c r="AE68" i="28"/>
  <c r="BZ39" i="28"/>
  <c r="F39" i="30"/>
  <c r="J39" i="30"/>
  <c r="AD44" i="28"/>
  <c r="AE44" i="28"/>
  <c r="BB18" i="28"/>
  <c r="D18" i="30"/>
  <c r="H18" i="30"/>
  <c r="AD33" i="28"/>
  <c r="AF33" i="28"/>
  <c r="CF33" i="28"/>
  <c r="CG33" i="28"/>
  <c r="CJ33" i="28"/>
  <c r="CL33" i="28"/>
  <c r="AD26" i="28"/>
  <c r="AE26" i="28"/>
  <c r="BZ22" i="28"/>
  <c r="CB22" i="28"/>
  <c r="EB22" i="28"/>
  <c r="EC22" i="28"/>
  <c r="AD79" i="28"/>
  <c r="AE79" i="28"/>
  <c r="BZ37" i="28"/>
  <c r="CA37" i="28"/>
  <c r="E37" i="32"/>
  <c r="J37" i="32"/>
  <c r="BZ41" i="28"/>
  <c r="CA41" i="28"/>
  <c r="E41" i="32"/>
  <c r="J41" i="32"/>
  <c r="AD64" i="28"/>
  <c r="AF64" i="28"/>
  <c r="CF64" i="28"/>
  <c r="CG64" i="28"/>
  <c r="CJ64" i="28"/>
  <c r="CL64" i="28"/>
  <c r="AD73" i="28"/>
  <c r="AE73" i="28"/>
  <c r="BN14" i="28"/>
  <c r="E14" i="30"/>
  <c r="I14" i="30"/>
  <c r="AD83" i="28"/>
  <c r="AF83" i="28"/>
  <c r="CF83" i="28"/>
  <c r="CG83" i="28"/>
  <c r="CJ83" i="28"/>
  <c r="CL83" i="28"/>
  <c r="BB61" i="28"/>
  <c r="D61" i="30"/>
  <c r="H61" i="30"/>
  <c r="AD77" i="28"/>
  <c r="AF77" i="28"/>
  <c r="CF77" i="28"/>
  <c r="CG77" i="28"/>
  <c r="CJ77" i="28"/>
  <c r="CL77" i="28"/>
  <c r="BB46" i="28"/>
  <c r="BC46" i="28"/>
  <c r="C46" i="32"/>
  <c r="H46" i="32"/>
  <c r="AO59" i="28"/>
  <c r="BB6" i="28"/>
  <c r="BD6" i="28"/>
  <c r="DD6" i="28"/>
  <c r="DE6" i="28"/>
  <c r="DH6" i="28"/>
  <c r="DJ6" i="28"/>
  <c r="C6" i="31"/>
  <c r="H6" i="31"/>
  <c r="AD61" i="28"/>
  <c r="AF61" i="28"/>
  <c r="CF61" i="28"/>
  <c r="CG61" i="28"/>
  <c r="CJ61" i="28"/>
  <c r="CL61" i="28"/>
  <c r="BN8" i="28"/>
  <c r="BP8" i="28"/>
  <c r="DP8" i="28"/>
  <c r="DQ8" i="28"/>
  <c r="DT8" i="28"/>
  <c r="BZ8" i="28"/>
  <c r="CB8" i="28"/>
  <c r="EB8" i="28"/>
  <c r="EC8" i="28"/>
  <c r="EF8" i="28"/>
  <c r="EH8" i="28"/>
  <c r="E8" i="31"/>
  <c r="J8" i="31"/>
  <c r="BZ27" i="28"/>
  <c r="F27" i="30"/>
  <c r="J27" i="30"/>
  <c r="AP65" i="28"/>
  <c r="AR65" i="28"/>
  <c r="CR65" i="28"/>
  <c r="CS65" i="28"/>
  <c r="CV65" i="28"/>
  <c r="CX65" i="28"/>
  <c r="AD9" i="28"/>
  <c r="AE9" i="28"/>
  <c r="BB20" i="28"/>
  <c r="BC20" i="28"/>
  <c r="C20" i="32"/>
  <c r="H20" i="32"/>
  <c r="AD36" i="28"/>
  <c r="AF36" i="28"/>
  <c r="CF36" i="28"/>
  <c r="CG36" i="28"/>
  <c r="CJ36" i="28"/>
  <c r="CL36" i="28"/>
  <c r="BB34" i="28"/>
  <c r="BC34" i="28"/>
  <c r="C34" i="32"/>
  <c r="H34" i="32"/>
  <c r="BN9" i="28"/>
  <c r="BO9" i="28"/>
  <c r="D9" i="32"/>
  <c r="I9" i="32"/>
  <c r="BB11" i="28"/>
  <c r="BD11" i="28"/>
  <c r="DD11" i="28"/>
  <c r="DE11" i="28"/>
  <c r="DH11" i="28"/>
  <c r="DJ11" i="28"/>
  <c r="C11" i="31"/>
  <c r="H11" i="31"/>
  <c r="AD21" i="28"/>
  <c r="AE21" i="28"/>
  <c r="BZ34" i="28"/>
  <c r="F34" i="30"/>
  <c r="J34" i="30"/>
  <c r="AD14" i="28"/>
  <c r="AF14" i="28"/>
  <c r="CF14" i="28"/>
  <c r="CG14" i="28"/>
  <c r="CJ14" i="28"/>
  <c r="CL14" i="28"/>
  <c r="BZ9" i="28"/>
  <c r="CA9" i="28"/>
  <c r="E9" i="32"/>
  <c r="J9" i="32"/>
  <c r="BN10" i="28"/>
  <c r="BO10" i="28"/>
  <c r="D10" i="32"/>
  <c r="I10" i="32"/>
  <c r="AO32" i="28"/>
  <c r="AP32" i="28"/>
  <c r="L32" i="30"/>
  <c r="K32" i="30"/>
  <c r="AD78" i="28"/>
  <c r="AF78" i="28"/>
  <c r="CF78" i="28"/>
  <c r="CG78" i="28"/>
  <c r="CJ78" i="28"/>
  <c r="CL78" i="28"/>
  <c r="EV78" i="28"/>
  <c r="EW78" i="28"/>
  <c r="K78" i="31"/>
  <c r="AD22" i="28"/>
  <c r="AF22" i="28"/>
  <c r="CF22" i="28"/>
  <c r="CG22" i="28"/>
  <c r="CJ22" i="28"/>
  <c r="CL22" i="28"/>
  <c r="AD69" i="28"/>
  <c r="AF69" i="28"/>
  <c r="CF69" i="28"/>
  <c r="CG69" i="28"/>
  <c r="CJ69" i="28"/>
  <c r="CL69" i="28"/>
  <c r="BB25" i="28"/>
  <c r="D25" i="30"/>
  <c r="H25" i="30"/>
  <c r="AD39" i="28"/>
  <c r="AE39" i="28"/>
  <c r="AD81" i="28"/>
  <c r="AE81" i="28"/>
  <c r="AD24" i="28"/>
  <c r="AF24" i="28"/>
  <c r="CF24" i="28"/>
  <c r="CG24" i="28"/>
  <c r="CJ24" i="28"/>
  <c r="CL24" i="28"/>
  <c r="AD18" i="28"/>
  <c r="AF18" i="28"/>
  <c r="CF18" i="28"/>
  <c r="CG18" i="28"/>
  <c r="CJ18" i="28"/>
  <c r="CL18" i="28"/>
  <c r="BZ15" i="28"/>
  <c r="CA15" i="28"/>
  <c r="E15" i="32"/>
  <c r="J15" i="32"/>
  <c r="BB19" i="28"/>
  <c r="BD19" i="28"/>
  <c r="DD19" i="28"/>
  <c r="DE19" i="28"/>
  <c r="DH19" i="28"/>
  <c r="DJ19" i="28"/>
  <c r="C19" i="31"/>
  <c r="H19" i="31"/>
  <c r="AO46" i="28"/>
  <c r="AP46" i="28"/>
  <c r="AQ46" i="28"/>
  <c r="AO41" i="28"/>
  <c r="AP41" i="28"/>
  <c r="AR41" i="28"/>
  <c r="CR41" i="28"/>
  <c r="CS41" i="28"/>
  <c r="CV41" i="28"/>
  <c r="CX41" i="28"/>
  <c r="AD25" i="28"/>
  <c r="AE25" i="28"/>
  <c r="AD70" i="28"/>
  <c r="AE70" i="28"/>
  <c r="AD59" i="28"/>
  <c r="AF59" i="28"/>
  <c r="CF59" i="28"/>
  <c r="CG59" i="28"/>
  <c r="CJ59" i="28"/>
  <c r="CL59" i="28"/>
  <c r="BB26" i="28"/>
  <c r="D26" i="30"/>
  <c r="H26" i="30"/>
  <c r="AD13" i="28"/>
  <c r="AF13" i="28"/>
  <c r="CF13" i="28"/>
  <c r="CG13" i="28"/>
  <c r="CJ13" i="28"/>
  <c r="CL13" i="28"/>
  <c r="BN15" i="28"/>
  <c r="BP15" i="28"/>
  <c r="DP15" i="28"/>
  <c r="DQ15" i="28"/>
  <c r="AP78" i="28"/>
  <c r="AR78" i="28"/>
  <c r="CR78" i="28"/>
  <c r="CS78" i="28"/>
  <c r="CV78" i="28"/>
  <c r="CX78" i="28"/>
  <c r="AD45" i="28"/>
  <c r="AF45" i="28"/>
  <c r="CF45" i="28"/>
  <c r="CG45" i="28"/>
  <c r="CJ45" i="28"/>
  <c r="CL45" i="28"/>
  <c r="AD75" i="28"/>
  <c r="AF75" i="28"/>
  <c r="CF75" i="28"/>
  <c r="CG75" i="28"/>
  <c r="CJ75" i="28"/>
  <c r="CL75" i="28"/>
  <c r="BZ23" i="28"/>
  <c r="CA23" i="28"/>
  <c r="E23" i="32"/>
  <c r="J23" i="32"/>
  <c r="BN7" i="28"/>
  <c r="BP7" i="28"/>
  <c r="DP7" i="28"/>
  <c r="DQ7" i="28"/>
  <c r="DT7" i="28"/>
  <c r="DV7" i="28"/>
  <c r="D7" i="31"/>
  <c r="I7" i="31"/>
  <c r="BB42" i="28"/>
  <c r="D42" i="30"/>
  <c r="H42" i="30"/>
  <c r="BZ14" i="28"/>
  <c r="CB14" i="28"/>
  <c r="EB14" i="28"/>
  <c r="EC14" i="28"/>
  <c r="BB57" i="28"/>
  <c r="BD57" i="28"/>
  <c r="DD57" i="28"/>
  <c r="DE57" i="28"/>
  <c r="BB51" i="28"/>
  <c r="D51" i="30"/>
  <c r="H51" i="30"/>
  <c r="AD80" i="28"/>
  <c r="AE80" i="28"/>
  <c r="AD46" i="28"/>
  <c r="AE46" i="28"/>
  <c r="BZ40" i="28"/>
  <c r="F40" i="30"/>
  <c r="J40" i="30"/>
  <c r="BN23" i="28"/>
  <c r="BO23" i="28"/>
  <c r="D23" i="32"/>
  <c r="I23" i="32"/>
  <c r="AO39" i="28"/>
  <c r="AP39" i="28"/>
  <c r="AQ39" i="28"/>
  <c r="AD40" i="28"/>
  <c r="AF40" i="28"/>
  <c r="CF40" i="28"/>
  <c r="CG40" i="28"/>
  <c r="CJ40" i="28"/>
  <c r="CL40" i="28"/>
  <c r="BB32" i="28"/>
  <c r="BD32" i="28"/>
  <c r="DD32" i="28"/>
  <c r="DE32" i="28"/>
  <c r="AD84" i="28"/>
  <c r="AF84" i="28"/>
  <c r="CF84" i="28"/>
  <c r="CG84" i="28"/>
  <c r="CJ84" i="28"/>
  <c r="CL84" i="28"/>
  <c r="EV84" i="28"/>
  <c r="F84" i="31"/>
  <c r="L84" i="31"/>
  <c r="AD51" i="28"/>
  <c r="AE51" i="28"/>
  <c r="AD85" i="28"/>
  <c r="AF85" i="28"/>
  <c r="CF85" i="28"/>
  <c r="CG85" i="28"/>
  <c r="CJ85" i="28"/>
  <c r="CL85" i="28"/>
  <c r="AD48" i="28"/>
  <c r="AE48" i="28"/>
  <c r="BN16" i="28"/>
  <c r="E16" i="30"/>
  <c r="I16" i="30"/>
  <c r="BZ42" i="28"/>
  <c r="F42" i="30"/>
  <c r="J42" i="30"/>
  <c r="AD65" i="28"/>
  <c r="AE65" i="28"/>
  <c r="AD5" i="28"/>
  <c r="AF5" i="28"/>
  <c r="CF5" i="28"/>
  <c r="CG5" i="28"/>
  <c r="CJ5" i="28"/>
  <c r="CL5" i="28"/>
  <c r="BB28" i="28"/>
  <c r="D28" i="30"/>
  <c r="H28" i="30"/>
  <c r="BB13" i="28"/>
  <c r="BC13" i="28"/>
  <c r="C13" i="32"/>
  <c r="H13" i="32"/>
  <c r="BB41" i="28"/>
  <c r="D41" i="30"/>
  <c r="H41" i="30"/>
  <c r="BN13" i="28"/>
  <c r="E13" i="30"/>
  <c r="I13" i="30"/>
  <c r="AD49" i="28"/>
  <c r="AF49" i="28"/>
  <c r="CF49" i="28"/>
  <c r="CG49" i="28"/>
  <c r="CJ49" i="28"/>
  <c r="CL49" i="28"/>
  <c r="BZ24" i="28"/>
  <c r="CB24" i="28"/>
  <c r="EB24" i="28"/>
  <c r="EC24" i="28"/>
  <c r="AD6" i="28"/>
  <c r="AF6" i="28"/>
  <c r="CF6" i="28"/>
  <c r="CG6" i="28"/>
  <c r="CJ6" i="28"/>
  <c r="CL6" i="28"/>
  <c r="BB8" i="28"/>
  <c r="BD8" i="28"/>
  <c r="DD8" i="28"/>
  <c r="DE8" i="28"/>
  <c r="DH8" i="28"/>
  <c r="AD8" i="28"/>
  <c r="AE8" i="28"/>
  <c r="AP76" i="28"/>
  <c r="AQ76" i="28"/>
  <c r="AP24" i="28"/>
  <c r="AQ24" i="28"/>
  <c r="BB27" i="28"/>
  <c r="D27" i="30"/>
  <c r="H27" i="30"/>
  <c r="AD47" i="28"/>
  <c r="AE47" i="28"/>
  <c r="BN4" i="28"/>
  <c r="BP4" i="28"/>
  <c r="DP4" i="28"/>
  <c r="DQ4" i="28"/>
  <c r="DT4" i="28"/>
  <c r="DV4" i="28"/>
  <c r="D4" i="31"/>
  <c r="I4" i="31"/>
  <c r="AD29" i="28"/>
  <c r="AF29" i="28"/>
  <c r="CF29" i="28"/>
  <c r="CG29" i="28"/>
  <c r="CJ29" i="28"/>
  <c r="CL29" i="28"/>
  <c r="BB21" i="28"/>
  <c r="BC21" i="28"/>
  <c r="C21" i="32"/>
  <c r="H21" i="32"/>
  <c r="AD34" i="28"/>
  <c r="AE34" i="28"/>
  <c r="AD42" i="28"/>
  <c r="AF42" i="28"/>
  <c r="CF42" i="28"/>
  <c r="CG42" i="28"/>
  <c r="CJ42" i="28"/>
  <c r="CL42" i="28"/>
  <c r="AD56" i="28"/>
  <c r="AF56" i="28"/>
  <c r="CF56" i="28"/>
  <c r="CG56" i="28"/>
  <c r="CJ56" i="28"/>
  <c r="CL56" i="28"/>
  <c r="AD15" i="28"/>
  <c r="AF15" i="28"/>
  <c r="CF15" i="28"/>
  <c r="CG15" i="28"/>
  <c r="CJ15" i="28"/>
  <c r="CL15" i="28"/>
  <c r="AD86" i="28"/>
  <c r="AF86" i="28"/>
  <c r="CF86" i="28"/>
  <c r="CG86" i="28"/>
  <c r="CJ86" i="28"/>
  <c r="CL86" i="28"/>
  <c r="AD76" i="28"/>
  <c r="AF76" i="28"/>
  <c r="CF76" i="28"/>
  <c r="CG76" i="28"/>
  <c r="CJ76" i="28"/>
  <c r="CL76" i="28"/>
  <c r="EV76" i="28"/>
  <c r="F76" i="31"/>
  <c r="L76" i="31"/>
  <c r="BN12" i="28"/>
  <c r="E12" i="30"/>
  <c r="I12" i="30"/>
  <c r="BN5" i="28"/>
  <c r="BP5" i="28"/>
  <c r="DP5" i="28"/>
  <c r="DQ5" i="28"/>
  <c r="DT5" i="28"/>
  <c r="DV5" i="28"/>
  <c r="D5" i="31"/>
  <c r="I5" i="31"/>
  <c r="AO5" i="28"/>
  <c r="CW15" i="28"/>
  <c r="BN18" i="28"/>
  <c r="BO18" i="28"/>
  <c r="D18" i="32"/>
  <c r="I18" i="32"/>
  <c r="AO10" i="28"/>
  <c r="AD16" i="28"/>
  <c r="AF16" i="28"/>
  <c r="CF16" i="28"/>
  <c r="CG16" i="28"/>
  <c r="CJ16" i="28"/>
  <c r="CL16" i="28"/>
  <c r="BB40" i="28"/>
  <c r="BC40" i="28"/>
  <c r="C40" i="32"/>
  <c r="H40" i="32"/>
  <c r="AD28" i="28"/>
  <c r="AE28" i="28"/>
  <c r="AO48" i="28"/>
  <c r="AP48" i="28"/>
  <c r="AQ48" i="28"/>
  <c r="AD41" i="28"/>
  <c r="AF41" i="28"/>
  <c r="CF41" i="28"/>
  <c r="CG41" i="28"/>
  <c r="CJ41" i="28"/>
  <c r="CL41" i="28"/>
  <c r="BZ43" i="28"/>
  <c r="CB43" i="28"/>
  <c r="EB43" i="28"/>
  <c r="EC43" i="28"/>
  <c r="BZ12" i="28"/>
  <c r="CA12" i="28"/>
  <c r="E12" i="32"/>
  <c r="J12" i="32"/>
  <c r="AD74" i="28"/>
  <c r="AF74" i="28"/>
  <c r="CF74" i="28"/>
  <c r="CG74" i="28"/>
  <c r="CJ74" i="28"/>
  <c r="CL74" i="28"/>
  <c r="AD52" i="28"/>
  <c r="AE52" i="28"/>
  <c r="AD67" i="28"/>
  <c r="AE67" i="28"/>
  <c r="AD10" i="28"/>
  <c r="AE10" i="28"/>
  <c r="BB30" i="28"/>
  <c r="D30" i="30"/>
  <c r="H30" i="30"/>
  <c r="BB24" i="28"/>
  <c r="BD24" i="28"/>
  <c r="DD24" i="28"/>
  <c r="DE24" i="28"/>
  <c r="DH24" i="28"/>
  <c r="DJ24" i="28"/>
  <c r="C24" i="31"/>
  <c r="H24" i="31"/>
  <c r="BZ6" i="28"/>
  <c r="F6" i="30"/>
  <c r="J6" i="30"/>
  <c r="BB59" i="28"/>
  <c r="BC59" i="28"/>
  <c r="C59" i="32"/>
  <c r="H59" i="32"/>
  <c r="P6" i="11"/>
  <c r="P8" i="11"/>
  <c r="P10" i="11"/>
  <c r="P11" i="11"/>
  <c r="T19" i="11"/>
  <c r="U19" i="11"/>
  <c r="Y19" i="11"/>
  <c r="T22" i="11"/>
  <c r="U42" i="11"/>
  <c r="T160" i="11"/>
  <c r="T107" i="11"/>
  <c r="T31" i="11"/>
  <c r="T47" i="11"/>
  <c r="T51" i="11"/>
  <c r="T71" i="11"/>
  <c r="T159" i="11"/>
  <c r="T143" i="11"/>
  <c r="U188" i="11"/>
  <c r="Y188" i="11"/>
  <c r="AA188" i="11"/>
  <c r="AC188" i="11"/>
  <c r="T178" i="11"/>
  <c r="T114" i="11"/>
  <c r="U145" i="11"/>
  <c r="U164" i="11"/>
  <c r="T91" i="11"/>
  <c r="T72" i="11"/>
  <c r="T30" i="11"/>
  <c r="T127" i="11"/>
  <c r="U147" i="11"/>
  <c r="U169" i="11"/>
  <c r="Y169" i="11"/>
  <c r="AA169" i="11"/>
  <c r="AC169" i="11"/>
  <c r="T176" i="11"/>
  <c r="R25" i="31"/>
  <c r="U101" i="11"/>
  <c r="U185" i="11"/>
  <c r="T122" i="11"/>
  <c r="U173" i="11"/>
  <c r="T46" i="11"/>
  <c r="T44" i="11"/>
  <c r="T198" i="11"/>
  <c r="U192" i="11"/>
  <c r="T28" i="11"/>
  <c r="T210" i="11"/>
  <c r="T148" i="11"/>
  <c r="T76" i="11"/>
  <c r="U129" i="11"/>
  <c r="Y129" i="11"/>
  <c r="AA129" i="11"/>
  <c r="AC129" i="11"/>
  <c r="U54" i="11"/>
  <c r="T59" i="11"/>
  <c r="T118" i="11"/>
  <c r="T197" i="11"/>
  <c r="U171" i="11"/>
  <c r="Y171" i="11"/>
  <c r="AA171" i="11"/>
  <c r="AC171" i="11"/>
  <c r="T60" i="11"/>
  <c r="U94" i="11"/>
  <c r="T126" i="11"/>
  <c r="T74" i="11"/>
  <c r="T35" i="11"/>
  <c r="T205" i="11"/>
  <c r="T144" i="11"/>
  <c r="U40" i="11"/>
  <c r="T40" i="11"/>
  <c r="U172" i="11"/>
  <c r="Y172" i="11"/>
  <c r="AA172" i="11"/>
  <c r="AC172" i="11"/>
  <c r="T172" i="11"/>
  <c r="U184" i="11"/>
  <c r="Y184" i="11"/>
  <c r="AA184" i="11"/>
  <c r="AC184" i="11"/>
  <c r="T184" i="11"/>
  <c r="U189" i="11"/>
  <c r="Y189" i="11"/>
  <c r="AA189" i="11"/>
  <c r="AC189" i="11"/>
  <c r="T189" i="11"/>
  <c r="U24" i="11"/>
  <c r="T24" i="11"/>
  <c r="U43" i="11"/>
  <c r="T43" i="11"/>
  <c r="U113" i="11"/>
  <c r="T113" i="11"/>
  <c r="U55" i="11"/>
  <c r="T55" i="11"/>
  <c r="U78" i="11"/>
  <c r="T78" i="11"/>
  <c r="U207" i="11"/>
  <c r="T207" i="11"/>
  <c r="U123" i="11"/>
  <c r="Y123" i="11"/>
  <c r="AA123" i="11"/>
  <c r="AC123" i="11"/>
  <c r="T123" i="11"/>
  <c r="AA6" i="11"/>
  <c r="AA4" i="11"/>
  <c r="U157" i="11"/>
  <c r="Y157" i="11"/>
  <c r="AA157" i="11"/>
  <c r="AC157" i="11"/>
  <c r="T157" i="11"/>
  <c r="U93" i="11"/>
  <c r="T93" i="11"/>
  <c r="U45" i="11"/>
  <c r="T45" i="11"/>
  <c r="U217" i="11"/>
  <c r="T217" i="11"/>
  <c r="U139" i="11"/>
  <c r="T139" i="11"/>
  <c r="U68" i="11"/>
  <c r="T68" i="11"/>
  <c r="U27" i="11"/>
  <c r="T27" i="11"/>
  <c r="U187" i="11"/>
  <c r="T187" i="11"/>
  <c r="U102" i="11"/>
  <c r="T102" i="11"/>
  <c r="U36" i="11"/>
  <c r="T36" i="11"/>
  <c r="U151" i="11"/>
  <c r="Y151" i="11"/>
  <c r="AA151" i="11"/>
  <c r="AC151" i="11"/>
  <c r="T151" i="11"/>
  <c r="U80" i="11"/>
  <c r="T80" i="11"/>
  <c r="U39" i="11"/>
  <c r="T39" i="11"/>
  <c r="U211" i="11"/>
  <c r="T211" i="11"/>
  <c r="U194" i="11"/>
  <c r="Y194" i="11"/>
  <c r="AA194" i="11"/>
  <c r="AC194" i="11"/>
  <c r="T194" i="11"/>
  <c r="U62" i="11"/>
  <c r="T62" i="11"/>
  <c r="U21" i="11"/>
  <c r="T21" i="11"/>
  <c r="U195" i="11"/>
  <c r="Y195" i="11"/>
  <c r="AA195" i="11"/>
  <c r="AC195" i="11"/>
  <c r="T195" i="11"/>
  <c r="U212" i="11"/>
  <c r="Y212" i="11"/>
  <c r="AA212" i="11"/>
  <c r="AC212" i="11"/>
  <c r="T212" i="11"/>
  <c r="U116" i="11"/>
  <c r="T116" i="11"/>
  <c r="T179" i="11"/>
  <c r="U179" i="11"/>
  <c r="Y179" i="11"/>
  <c r="AA179" i="11"/>
  <c r="AC179" i="11"/>
  <c r="U100" i="11"/>
  <c r="T100" i="11"/>
  <c r="U166" i="11"/>
  <c r="Y166" i="11"/>
  <c r="AA166" i="11"/>
  <c r="AC166" i="11"/>
  <c r="T166" i="11"/>
  <c r="U75" i="11"/>
  <c r="T75" i="11"/>
  <c r="U90" i="11"/>
  <c r="T90" i="11"/>
  <c r="U84" i="11"/>
  <c r="T84" i="11"/>
  <c r="T48" i="11"/>
  <c r="U48" i="11"/>
  <c r="U119" i="11"/>
  <c r="T119" i="11"/>
  <c r="U37" i="11"/>
  <c r="T37" i="11"/>
  <c r="U219" i="11"/>
  <c r="T219" i="11"/>
  <c r="U141" i="11"/>
  <c r="T141" i="11"/>
  <c r="U70" i="11"/>
  <c r="T70" i="11"/>
  <c r="U29" i="11"/>
  <c r="T29" i="11"/>
  <c r="U201" i="11"/>
  <c r="Y201" i="11"/>
  <c r="AA201" i="11"/>
  <c r="AC201" i="11"/>
  <c r="T201" i="11"/>
  <c r="U156" i="11"/>
  <c r="T156" i="11"/>
  <c r="U87" i="11"/>
  <c r="T87" i="11"/>
  <c r="U20" i="11"/>
  <c r="Y20" i="11"/>
  <c r="T20" i="11"/>
  <c r="U170" i="11"/>
  <c r="Y170" i="11"/>
  <c r="AA170" i="11"/>
  <c r="AC170" i="11"/>
  <c r="T170" i="11"/>
  <c r="U125" i="11"/>
  <c r="T125" i="11"/>
  <c r="U56" i="11"/>
  <c r="T56" i="11"/>
  <c r="U213" i="11"/>
  <c r="T213" i="11"/>
  <c r="U186" i="11"/>
  <c r="T186" i="11"/>
  <c r="U64" i="11"/>
  <c r="T64" i="11"/>
  <c r="U23" i="11"/>
  <c r="T23" i="11"/>
  <c r="U216" i="11"/>
  <c r="T216" i="11"/>
  <c r="U150" i="11"/>
  <c r="T150" i="11"/>
  <c r="U97" i="11"/>
  <c r="T97" i="11"/>
  <c r="U180" i="11"/>
  <c r="Y180" i="11"/>
  <c r="AA180" i="11"/>
  <c r="AC180" i="11"/>
  <c r="T180" i="11"/>
  <c r="U96" i="11"/>
  <c r="T96" i="11"/>
  <c r="U161" i="11"/>
  <c r="Y161" i="11"/>
  <c r="AA161" i="11"/>
  <c r="AC161" i="11"/>
  <c r="T161" i="11"/>
  <c r="U49" i="11"/>
  <c r="T49" i="11"/>
  <c r="U200" i="11"/>
  <c r="Y200" i="11"/>
  <c r="AA200" i="11"/>
  <c r="AC200" i="11"/>
  <c r="T200" i="11"/>
  <c r="U88" i="11"/>
  <c r="T88" i="11"/>
  <c r="U134" i="11"/>
  <c r="Y134" i="11"/>
  <c r="AA134" i="11"/>
  <c r="AC134" i="11"/>
  <c r="T134" i="11"/>
  <c r="U53" i="11"/>
  <c r="T53" i="11"/>
  <c r="U174" i="11"/>
  <c r="T174" i="11"/>
  <c r="U155" i="11"/>
  <c r="T155" i="11"/>
  <c r="T163" i="11"/>
  <c r="U163" i="11"/>
  <c r="Y163" i="11"/>
  <c r="AA163" i="11"/>
  <c r="AC163" i="11"/>
  <c r="U168" i="11"/>
  <c r="T168" i="11"/>
  <c r="U149" i="11"/>
  <c r="T149" i="11"/>
  <c r="U203" i="11"/>
  <c r="T203" i="11"/>
  <c r="U158" i="11"/>
  <c r="Y158" i="11"/>
  <c r="AA158" i="11"/>
  <c r="AC158" i="11"/>
  <c r="T158" i="11"/>
  <c r="U95" i="11"/>
  <c r="T95" i="11"/>
  <c r="S13" i="11"/>
  <c r="AD5" i="11"/>
  <c r="AD8" i="11"/>
  <c r="AD10" i="11"/>
  <c r="S12" i="11"/>
  <c r="U206" i="11"/>
  <c r="Y206" i="11"/>
  <c r="AA206" i="11"/>
  <c r="AC206" i="11"/>
  <c r="T206" i="11"/>
  <c r="U131" i="11"/>
  <c r="T131" i="11"/>
  <c r="U83" i="11"/>
  <c r="T83" i="11"/>
  <c r="U140" i="11"/>
  <c r="T140" i="11"/>
  <c r="U153" i="11"/>
  <c r="Y153" i="11"/>
  <c r="AA153" i="11"/>
  <c r="AC153" i="11"/>
  <c r="T153" i="11"/>
  <c r="U82" i="11"/>
  <c r="T82" i="11"/>
  <c r="U41" i="11"/>
  <c r="T41" i="11"/>
  <c r="U218" i="11"/>
  <c r="Y218" i="11"/>
  <c r="AA218" i="11"/>
  <c r="AC218" i="11"/>
  <c r="T218" i="11"/>
  <c r="U152" i="11"/>
  <c r="T152" i="11"/>
  <c r="U105" i="11"/>
  <c r="T105" i="11"/>
  <c r="T191" i="11"/>
  <c r="U191" i="11"/>
  <c r="Y191" i="11"/>
  <c r="AA191" i="11"/>
  <c r="AC191" i="11"/>
  <c r="U128" i="11"/>
  <c r="Y128" i="11"/>
  <c r="AA128" i="11"/>
  <c r="AC128" i="11"/>
  <c r="T128" i="11"/>
  <c r="U77" i="11"/>
  <c r="T77" i="11"/>
  <c r="U209" i="11"/>
  <c r="T209" i="11"/>
  <c r="U111" i="11"/>
  <c r="T111" i="11"/>
  <c r="U73" i="11"/>
  <c r="T73" i="11"/>
  <c r="U33" i="11"/>
  <c r="T33" i="11"/>
  <c r="U208" i="11"/>
  <c r="Y208" i="11"/>
  <c r="AA208" i="11"/>
  <c r="AC208" i="11"/>
  <c r="T208" i="11"/>
  <c r="U85" i="11"/>
  <c r="T85" i="11"/>
  <c r="U120" i="11"/>
  <c r="T120" i="11"/>
  <c r="U112" i="11"/>
  <c r="T112" i="11"/>
  <c r="T181" i="11"/>
  <c r="U181" i="11"/>
  <c r="U135" i="11"/>
  <c r="T135" i="11"/>
  <c r="U67" i="11"/>
  <c r="T67" i="11"/>
  <c r="U215" i="11"/>
  <c r="Y215" i="11"/>
  <c r="AA215" i="11"/>
  <c r="AC215" i="11"/>
  <c r="T215" i="11"/>
  <c r="U137" i="11"/>
  <c r="Y137" i="11"/>
  <c r="AA137" i="11"/>
  <c r="AC137" i="11"/>
  <c r="T137" i="11"/>
  <c r="U66" i="11"/>
  <c r="T66" i="11"/>
  <c r="U193" i="11"/>
  <c r="Y193" i="11"/>
  <c r="AA193" i="11"/>
  <c r="AC193" i="11"/>
  <c r="T193" i="11"/>
  <c r="T130" i="11"/>
  <c r="U130" i="11"/>
  <c r="U79" i="11"/>
  <c r="T79" i="11"/>
  <c r="T175" i="11"/>
  <c r="U175" i="11"/>
  <c r="Y175" i="11"/>
  <c r="AA175" i="11"/>
  <c r="AC175" i="11"/>
  <c r="U109" i="11"/>
  <c r="T109" i="11"/>
  <c r="U61" i="11"/>
  <c r="T61" i="11"/>
  <c r="U214" i="11"/>
  <c r="T214" i="11"/>
  <c r="U92" i="11"/>
  <c r="T92" i="11"/>
  <c r="U108" i="11"/>
  <c r="T108" i="11"/>
  <c r="T13" i="11"/>
  <c r="AE5" i="11"/>
  <c r="AE8" i="11"/>
  <c r="AE10" i="11"/>
  <c r="T12" i="11"/>
  <c r="T183" i="11"/>
  <c r="U183" i="11"/>
  <c r="U146" i="11"/>
  <c r="T146" i="11"/>
  <c r="U69" i="11"/>
  <c r="T69" i="11"/>
  <c r="T165" i="11"/>
  <c r="U165" i="11"/>
  <c r="U117" i="11"/>
  <c r="T117" i="11"/>
  <c r="T50" i="11"/>
  <c r="U50" i="11"/>
  <c r="U199" i="11"/>
  <c r="T199" i="11"/>
  <c r="U154" i="11"/>
  <c r="Y154" i="11"/>
  <c r="AA154" i="11"/>
  <c r="AC154" i="11"/>
  <c r="T154" i="11"/>
  <c r="U86" i="11"/>
  <c r="T86" i="11"/>
  <c r="R12" i="11"/>
  <c r="R13" i="11"/>
  <c r="AC5" i="11"/>
  <c r="AC8" i="11"/>
  <c r="AC10" i="11"/>
  <c r="T177" i="11"/>
  <c r="U177" i="11"/>
  <c r="Y177" i="11"/>
  <c r="AA177" i="11"/>
  <c r="AC177" i="11"/>
  <c r="U110" i="11"/>
  <c r="T110" i="11"/>
  <c r="U63" i="11"/>
  <c r="T63" i="11"/>
  <c r="U196" i="11"/>
  <c r="T196" i="11"/>
  <c r="U133" i="11"/>
  <c r="T133" i="11"/>
  <c r="U57" i="11"/>
  <c r="T57" i="11"/>
  <c r="U103" i="11"/>
  <c r="T103" i="11"/>
  <c r="U162" i="11"/>
  <c r="T162" i="11"/>
  <c r="U106" i="11"/>
  <c r="T106" i="11"/>
  <c r="U58" i="11"/>
  <c r="T58" i="11"/>
  <c r="U65" i="11"/>
  <c r="T65" i="11"/>
  <c r="U34" i="11"/>
  <c r="T34" i="11"/>
  <c r="U115" i="11"/>
  <c r="T115" i="11"/>
  <c r="U124" i="11"/>
  <c r="T124" i="11"/>
  <c r="U138" i="11"/>
  <c r="T138" i="11"/>
  <c r="U25" i="11"/>
  <c r="T25" i="11"/>
  <c r="AB6" i="11"/>
  <c r="AB4" i="11"/>
  <c r="T167" i="11"/>
  <c r="U167" i="11"/>
  <c r="U121" i="11"/>
  <c r="T121" i="11"/>
  <c r="T52" i="11"/>
  <c r="U52" i="11"/>
  <c r="U190" i="11"/>
  <c r="Y190" i="11"/>
  <c r="AA190" i="11"/>
  <c r="AC190" i="11"/>
  <c r="T190" i="11"/>
  <c r="U104" i="11"/>
  <c r="T104" i="11"/>
  <c r="U38" i="11"/>
  <c r="T38" i="11"/>
  <c r="U204" i="11"/>
  <c r="T204" i="11"/>
  <c r="U142" i="11"/>
  <c r="Y142" i="11"/>
  <c r="AA142" i="11"/>
  <c r="AC142" i="11"/>
  <c r="T142" i="11"/>
  <c r="U81" i="11"/>
  <c r="T81" i="11"/>
  <c r="U202" i="11"/>
  <c r="Y202" i="11"/>
  <c r="AA202" i="11"/>
  <c r="AC202" i="11"/>
  <c r="T202" i="11"/>
  <c r="T136" i="11"/>
  <c r="U136" i="11"/>
  <c r="U99" i="11"/>
  <c r="T99" i="11"/>
  <c r="U182" i="11"/>
  <c r="T182" i="11"/>
  <c r="U98" i="11"/>
  <c r="T98" i="11"/>
  <c r="U32" i="11"/>
  <c r="T32" i="11"/>
  <c r="U89" i="11"/>
  <c r="T89" i="11"/>
  <c r="U132" i="11"/>
  <c r="Y132" i="11"/>
  <c r="AA132" i="11"/>
  <c r="AC132" i="11"/>
  <c r="T132" i="11"/>
  <c r="U26" i="11"/>
  <c r="T26" i="11"/>
  <c r="Q9" i="11"/>
  <c r="Q14" i="11"/>
  <c r="Q8" i="11"/>
  <c r="P12" i="31"/>
  <c r="N26" i="31"/>
  <c r="O12" i="31"/>
  <c r="DC27" i="28"/>
  <c r="DK27" i="28"/>
  <c r="CQ61" i="28"/>
  <c r="CY61" i="28"/>
  <c r="CQ42" i="28"/>
  <c r="CY42" i="28"/>
  <c r="CQ66" i="28"/>
  <c r="CQ79" i="28"/>
  <c r="CY79" i="28"/>
  <c r="CQ10" i="28"/>
  <c r="CY10" i="28"/>
  <c r="DO13" i="28"/>
  <c r="DW13" i="28"/>
  <c r="CQ50" i="28"/>
  <c r="CY50" i="28"/>
  <c r="CQ35" i="28"/>
  <c r="CY35" i="28"/>
  <c r="CQ40" i="28"/>
  <c r="CY40" i="28"/>
  <c r="CY25" i="28"/>
  <c r="CQ33" i="28"/>
  <c r="CY33" i="28"/>
  <c r="CQ44" i="28"/>
  <c r="CY44" i="28"/>
  <c r="CQ46" i="28"/>
  <c r="CY46" i="28"/>
  <c r="CQ28" i="28"/>
  <c r="CY28" i="28"/>
  <c r="CQ41" i="28"/>
  <c r="CY41" i="28"/>
  <c r="CQ34" i="28"/>
  <c r="CY34" i="28"/>
  <c r="CQ64" i="28"/>
  <c r="CY64" i="28"/>
  <c r="CQ43" i="28"/>
  <c r="CY43" i="28"/>
  <c r="CQ73" i="28"/>
  <c r="CY73" i="28"/>
  <c r="CY16" i="28"/>
  <c r="CQ49" i="28"/>
  <c r="CY49" i="28"/>
  <c r="CW52" i="28"/>
  <c r="EA13" i="28"/>
  <c r="EI13" i="28"/>
  <c r="CQ72" i="28"/>
  <c r="CY72" i="28"/>
  <c r="CQ45" i="28"/>
  <c r="CY45" i="28"/>
  <c r="CQ83" i="28"/>
  <c r="CY83" i="28"/>
  <c r="CQ86" i="28"/>
  <c r="CY86" i="28"/>
  <c r="CQ32" i="28"/>
  <c r="CY32" i="28"/>
  <c r="CQ26" i="28"/>
  <c r="CY26" i="28"/>
  <c r="CQ6" i="28"/>
  <c r="CY6" i="28"/>
  <c r="CB6" i="28"/>
  <c r="EB6" i="28"/>
  <c r="EC6" i="28"/>
  <c r="EF6" i="28"/>
  <c r="EH6" i="28"/>
  <c r="E6" i="31"/>
  <c r="J6" i="31"/>
  <c r="D6" i="30"/>
  <c r="H6" i="30"/>
  <c r="CW6" i="28"/>
  <c r="CW49" i="28"/>
  <c r="BC61" i="28"/>
  <c r="C61" i="32"/>
  <c r="H61" i="32"/>
  <c r="CA22" i="28"/>
  <c r="E22" i="32"/>
  <c r="J22" i="32"/>
  <c r="CW26" i="28"/>
  <c r="CW41" i="28"/>
  <c r="CW28" i="28"/>
  <c r="F22" i="30"/>
  <c r="J22" i="30"/>
  <c r="CW44" i="28"/>
  <c r="CW33" i="28"/>
  <c r="AO86" i="28"/>
  <c r="AQ74" i="28"/>
  <c r="BD25" i="28"/>
  <c r="DD25" i="28"/>
  <c r="DE25" i="28"/>
  <c r="DH25" i="28"/>
  <c r="DJ25" i="28"/>
  <c r="C25" i="31"/>
  <c r="H25" i="31"/>
  <c r="CW5" i="28"/>
  <c r="AE24" i="28"/>
  <c r="AO33" i="28"/>
  <c r="CW32" i="28"/>
  <c r="CW46" i="28"/>
  <c r="CW86" i="28"/>
  <c r="BD18" i="28"/>
  <c r="DD18" i="28"/>
  <c r="DE18" i="28"/>
  <c r="DH18" i="28"/>
  <c r="DJ18" i="28"/>
  <c r="C18" i="31"/>
  <c r="H18" i="31"/>
  <c r="AF44" i="28"/>
  <c r="CF44" i="28"/>
  <c r="CG44" i="28"/>
  <c r="CJ44" i="28"/>
  <c r="CL44" i="28"/>
  <c r="CW10" i="28"/>
  <c r="CW83" i="28"/>
  <c r="AO83" i="28"/>
  <c r="AO15" i="28"/>
  <c r="BD42" i="28"/>
  <c r="DD42" i="28"/>
  <c r="DE42" i="28"/>
  <c r="BD35" i="28"/>
  <c r="DD35" i="28"/>
  <c r="DE35" i="28"/>
  <c r="BC35" i="28"/>
  <c r="C35" i="32"/>
  <c r="H35" i="32"/>
  <c r="F23" i="30"/>
  <c r="J23" i="30"/>
  <c r="AO40" i="28"/>
  <c r="CA27" i="28"/>
  <c r="E27" i="32"/>
  <c r="J27" i="32"/>
  <c r="F18" i="30"/>
  <c r="J18" i="30"/>
  <c r="CB18" i="28"/>
  <c r="EB18" i="28"/>
  <c r="EC18" i="28"/>
  <c r="CA18" i="28"/>
  <c r="E18" i="32"/>
  <c r="J18" i="32"/>
  <c r="AQ67" i="28"/>
  <c r="AF72" i="28"/>
  <c r="CF72" i="28"/>
  <c r="CG72" i="28"/>
  <c r="CJ72" i="28"/>
  <c r="CL72" i="28"/>
  <c r="AR67" i="28"/>
  <c r="CR67" i="28"/>
  <c r="CS67" i="28"/>
  <c r="CV67" i="28"/>
  <c r="CX67" i="28"/>
  <c r="CB10" i="28"/>
  <c r="EB10" i="28"/>
  <c r="EC10" i="28"/>
  <c r="EF10" i="28"/>
  <c r="EH10" i="28"/>
  <c r="E10" i="31"/>
  <c r="J10" i="31"/>
  <c r="CA10" i="28"/>
  <c r="E10" i="32"/>
  <c r="J10" i="32"/>
  <c r="F10" i="30"/>
  <c r="J10" i="30"/>
  <c r="Y160" i="11"/>
  <c r="AA160" i="11"/>
  <c r="AC160" i="11"/>
  <c r="CW40" i="28"/>
  <c r="AR74" i="28"/>
  <c r="CR74" i="28"/>
  <c r="CS74" i="28"/>
  <c r="CV74" i="28"/>
  <c r="CX74" i="28"/>
  <c r="CA5" i="28"/>
  <c r="E5" i="32"/>
  <c r="J5" i="32"/>
  <c r="CB5" i="28"/>
  <c r="EB5" i="28"/>
  <c r="EC5" i="28"/>
  <c r="EF5" i="28"/>
  <c r="EH5" i="28"/>
  <c r="E5" i="31"/>
  <c r="J5" i="31"/>
  <c r="F5" i="30"/>
  <c r="J5" i="30"/>
  <c r="BD33" i="28"/>
  <c r="DD33" i="28"/>
  <c r="DE33" i="28"/>
  <c r="D33" i="30"/>
  <c r="H33" i="30"/>
  <c r="BC33" i="28"/>
  <c r="C33" i="32"/>
  <c r="H33" i="32"/>
  <c r="AF54" i="28"/>
  <c r="CF54" i="28"/>
  <c r="CG54" i="28"/>
  <c r="CJ54" i="28"/>
  <c r="CL54" i="28"/>
  <c r="AE54" i="28"/>
  <c r="Y205" i="11"/>
  <c r="AA205" i="11"/>
  <c r="AC205" i="11"/>
  <c r="BD54" i="28"/>
  <c r="DD54" i="28"/>
  <c r="DE54" i="28"/>
  <c r="BC54" i="28"/>
  <c r="C54" i="32"/>
  <c r="H54" i="32"/>
  <c r="D54" i="30"/>
  <c r="H54" i="30"/>
  <c r="CB33" i="28"/>
  <c r="EB33" i="28"/>
  <c r="EC33" i="28"/>
  <c r="F33" i="30"/>
  <c r="J33" i="30"/>
  <c r="CA33" i="28"/>
  <c r="E33" i="32"/>
  <c r="J33" i="32"/>
  <c r="AE36" i="28"/>
  <c r="AE63" i="28"/>
  <c r="AF63" i="28"/>
  <c r="CF63" i="28"/>
  <c r="CG63" i="28"/>
  <c r="CJ63" i="28"/>
  <c r="CL63" i="28"/>
  <c r="AF55" i="28"/>
  <c r="CF55" i="28"/>
  <c r="CG55" i="28"/>
  <c r="CJ55" i="28"/>
  <c r="CL55" i="28"/>
  <c r="AE55" i="28"/>
  <c r="AO16" i="28"/>
  <c r="AE4" i="28"/>
  <c r="AF4" i="28"/>
  <c r="CF4" i="28"/>
  <c r="DI27" i="28"/>
  <c r="DU13" i="28"/>
  <c r="CW4" i="28"/>
  <c r="AO30" i="28"/>
  <c r="CA36" i="28"/>
  <c r="E36" i="32"/>
  <c r="J36" i="32"/>
  <c r="CB36" i="28"/>
  <c r="EB36" i="28"/>
  <c r="EC36" i="28"/>
  <c r="F36" i="30"/>
  <c r="J36" i="30"/>
  <c r="AE32" i="28"/>
  <c r="AF32" i="28"/>
  <c r="CF32" i="28"/>
  <c r="CG32" i="28"/>
  <c r="CJ32" i="28"/>
  <c r="CL32" i="28"/>
  <c r="EG13" i="28"/>
  <c r="CW64" i="28"/>
  <c r="AO34" i="28"/>
  <c r="CW45" i="28"/>
  <c r="AO35" i="28"/>
  <c r="CW42" i="28"/>
  <c r="CW47" i="28"/>
  <c r="CW73" i="28"/>
  <c r="AO85" i="28"/>
  <c r="AO66" i="28"/>
  <c r="CW31" i="28"/>
  <c r="AO72" i="28"/>
  <c r="CW84" i="28"/>
  <c r="CW37" i="28"/>
  <c r="CW43" i="28"/>
  <c r="AO55" i="28"/>
  <c r="CW29" i="28"/>
  <c r="AO82" i="28"/>
  <c r="AO84" i="28"/>
  <c r="CW20" i="28"/>
  <c r="CW30" i="28"/>
  <c r="AO21" i="28"/>
  <c r="AO58" i="28"/>
  <c r="CW50" i="28"/>
  <c r="CW51" i="28"/>
  <c r="AO80" i="28"/>
  <c r="CW66" i="28"/>
  <c r="AO53" i="28"/>
  <c r="AO11" i="28"/>
  <c r="CW71" i="28"/>
  <c r="AO57" i="28"/>
  <c r="AO75" i="28"/>
  <c r="AO38" i="28"/>
  <c r="CW56" i="28"/>
  <c r="DS25" i="28"/>
  <c r="DG8" i="28"/>
  <c r="DI8" i="28"/>
  <c r="EC17" i="28"/>
  <c r="AE23" i="28"/>
  <c r="AF23" i="28"/>
  <c r="CF23" i="28"/>
  <c r="CG23" i="28"/>
  <c r="CJ23" i="28"/>
  <c r="CL23" i="28"/>
  <c r="D38" i="30"/>
  <c r="H38" i="30"/>
  <c r="BD38" i="28"/>
  <c r="DD38" i="28"/>
  <c r="BC38" i="28"/>
  <c r="C38" i="32"/>
  <c r="H38" i="32"/>
  <c r="D29" i="30"/>
  <c r="H29" i="30"/>
  <c r="BC29" i="28"/>
  <c r="C29" i="32"/>
  <c r="H29" i="32"/>
  <c r="BD29" i="28"/>
  <c r="DD29" i="28"/>
  <c r="AO20" i="28"/>
  <c r="AP20" i="28"/>
  <c r="BC7" i="28"/>
  <c r="C7" i="32"/>
  <c r="H7" i="32"/>
  <c r="D7" i="30"/>
  <c r="H7" i="30"/>
  <c r="BD7" i="28"/>
  <c r="DD7" i="28"/>
  <c r="CQ85" i="28"/>
  <c r="CW70" i="28"/>
  <c r="D53" i="30"/>
  <c r="H53" i="30"/>
  <c r="BC53" i="28"/>
  <c r="C53" i="32"/>
  <c r="H53" i="32"/>
  <c r="BD53" i="28"/>
  <c r="DD53" i="28"/>
  <c r="CQ75" i="28"/>
  <c r="AO27" i="28"/>
  <c r="AP27" i="28"/>
  <c r="AO79" i="28"/>
  <c r="AE38" i="28"/>
  <c r="AF38" i="28"/>
  <c r="CF38" i="28"/>
  <c r="CG38" i="28"/>
  <c r="CJ38" i="28"/>
  <c r="CL38" i="28"/>
  <c r="AF19" i="28"/>
  <c r="CF19" i="28"/>
  <c r="CG19" i="28"/>
  <c r="CJ19" i="28"/>
  <c r="CL19" i="28"/>
  <c r="AE19" i="28"/>
  <c r="BP17" i="28"/>
  <c r="DP17" i="28"/>
  <c r="E17" i="30"/>
  <c r="I17" i="30"/>
  <c r="BO17" i="28"/>
  <c r="D17" i="32"/>
  <c r="I17" i="32"/>
  <c r="CU17" i="28"/>
  <c r="CW17" i="28"/>
  <c r="AF50" i="28"/>
  <c r="CF50" i="28"/>
  <c r="CG50" i="28"/>
  <c r="CJ50" i="28"/>
  <c r="CL50" i="28"/>
  <c r="AE50" i="28"/>
  <c r="AE20" i="28"/>
  <c r="AF20" i="28"/>
  <c r="CF20" i="28"/>
  <c r="CG20" i="28"/>
  <c r="CJ20" i="28"/>
  <c r="CL20" i="28"/>
  <c r="DE50" i="28"/>
  <c r="DE43" i="28"/>
  <c r="CQ20" i="28"/>
  <c r="AE58" i="28"/>
  <c r="AF58" i="28"/>
  <c r="CF58" i="28"/>
  <c r="CG58" i="28"/>
  <c r="CJ58" i="28"/>
  <c r="CL58" i="28"/>
  <c r="CU12" i="28"/>
  <c r="CW12" i="28"/>
  <c r="AE27" i="28"/>
  <c r="AF27" i="28"/>
  <c r="CF27" i="28"/>
  <c r="CG27" i="28"/>
  <c r="CJ27" i="28"/>
  <c r="CL27" i="28"/>
  <c r="AO7" i="28"/>
  <c r="AP7" i="28"/>
  <c r="CU21" i="28"/>
  <c r="CW21" i="28"/>
  <c r="DQ19" i="28"/>
  <c r="CU19" i="28"/>
  <c r="CW19" i="28"/>
  <c r="BD31" i="28"/>
  <c r="DD31" i="28"/>
  <c r="BC31" i="28"/>
  <c r="C31" i="32"/>
  <c r="H31" i="32"/>
  <c r="D31" i="30"/>
  <c r="H31" i="30"/>
  <c r="CQ17" i="28"/>
  <c r="F29" i="30"/>
  <c r="J29" i="30"/>
  <c r="CB29" i="28"/>
  <c r="EB29" i="28"/>
  <c r="CA29" i="28"/>
  <c r="E29" i="32"/>
  <c r="J29" i="32"/>
  <c r="AE71" i="28"/>
  <c r="AF71" i="28"/>
  <c r="CF71" i="28"/>
  <c r="CG71" i="28"/>
  <c r="CJ71" i="28"/>
  <c r="CL71" i="28"/>
  <c r="CQ22" i="28"/>
  <c r="AE43" i="28"/>
  <c r="AF43" i="28"/>
  <c r="CF43" i="28"/>
  <c r="CG43" i="28"/>
  <c r="CJ43" i="28"/>
  <c r="CL43" i="28"/>
  <c r="CQ70" i="28"/>
  <c r="CU7" i="28"/>
  <c r="E21" i="30"/>
  <c r="I21" i="30"/>
  <c r="BP21" i="28"/>
  <c r="DP21" i="28"/>
  <c r="BO21" i="28"/>
  <c r="D21" i="32"/>
  <c r="I21" i="32"/>
  <c r="DG63" i="28"/>
  <c r="CW34" i="28"/>
  <c r="AO19" i="28"/>
  <c r="AP19" i="28"/>
  <c r="AQ77" i="28"/>
  <c r="AR77" i="28"/>
  <c r="CR77" i="28"/>
  <c r="DE56" i="28"/>
  <c r="CQ84" i="28"/>
  <c r="CU61" i="28"/>
  <c r="CW61" i="28"/>
  <c r="AO17" i="28"/>
  <c r="AP17" i="28"/>
  <c r="CB20" i="28"/>
  <c r="EB20" i="28"/>
  <c r="CA20" i="28"/>
  <c r="E20" i="32"/>
  <c r="J20" i="32"/>
  <c r="F20" i="30"/>
  <c r="J20" i="30"/>
  <c r="AO60" i="28"/>
  <c r="AP60" i="28"/>
  <c r="CW22" i="28"/>
  <c r="CA7" i="28"/>
  <c r="E7" i="32"/>
  <c r="J7" i="32"/>
  <c r="F7" i="30"/>
  <c r="J7" i="30"/>
  <c r="CB7" i="28"/>
  <c r="EB7" i="28"/>
  <c r="CQ12" i="28"/>
  <c r="AE60" i="28"/>
  <c r="AF60" i="28"/>
  <c r="CF60" i="28"/>
  <c r="CG60" i="28"/>
  <c r="CJ60" i="28"/>
  <c r="CL60" i="28"/>
  <c r="CQ21" i="28"/>
  <c r="AE82" i="28"/>
  <c r="AF82" i="28"/>
  <c r="CF82" i="28"/>
  <c r="CG82" i="28"/>
  <c r="CJ82" i="28"/>
  <c r="CL82" i="28"/>
  <c r="CQ19" i="28"/>
  <c r="BD16" i="28"/>
  <c r="DD16" i="28"/>
  <c r="D16" i="30"/>
  <c r="H16" i="30"/>
  <c r="BC16" i="28"/>
  <c r="C16" i="32"/>
  <c r="H16" i="32"/>
  <c r="BO11" i="28"/>
  <c r="D11" i="32"/>
  <c r="I11" i="32"/>
  <c r="E11" i="30"/>
  <c r="I11" i="30"/>
  <c r="BP11" i="28"/>
  <c r="DP11" i="28"/>
  <c r="AO43" i="28"/>
  <c r="AP43" i="28"/>
  <c r="CU23" i="28"/>
  <c r="CW23" i="28"/>
  <c r="CW68" i="28"/>
  <c r="AE30" i="28"/>
  <c r="AF30" i="28"/>
  <c r="CF30" i="28"/>
  <c r="CG30" i="28"/>
  <c r="CJ30" i="28"/>
  <c r="CL30" i="28"/>
  <c r="AE53" i="28"/>
  <c r="AF53" i="28"/>
  <c r="CF53" i="28"/>
  <c r="CG53" i="28"/>
  <c r="CJ53" i="28"/>
  <c r="CL53" i="28"/>
  <c r="DE9" i="28"/>
  <c r="DH9" i="28"/>
  <c r="DJ9" i="28"/>
  <c r="C9" i="31"/>
  <c r="H9" i="31"/>
  <c r="DQ20" i="28"/>
  <c r="F4" i="30"/>
  <c r="J4" i="30"/>
  <c r="CA4" i="28"/>
  <c r="E4" i="32"/>
  <c r="J4" i="32"/>
  <c r="CB4" i="28"/>
  <c r="EB4" i="28"/>
  <c r="EE45" i="28"/>
  <c r="CU8" i="28"/>
  <c r="CW8" i="28"/>
  <c r="CU11" i="28"/>
  <c r="CW11" i="28"/>
  <c r="CW55" i="28"/>
  <c r="AR48" i="28"/>
  <c r="CR48" i="28"/>
  <c r="CW72" i="28"/>
  <c r="AO4" i="28"/>
  <c r="AP4" i="28"/>
  <c r="EC26" i="28"/>
  <c r="AO71" i="28"/>
  <c r="AP71" i="28"/>
  <c r="AE35" i="28"/>
  <c r="AF35" i="28"/>
  <c r="CF35" i="28"/>
  <c r="CG35" i="28"/>
  <c r="CJ35" i="28"/>
  <c r="CL35" i="28"/>
  <c r="AE62" i="28"/>
  <c r="AF62" i="28"/>
  <c r="CF62" i="28"/>
  <c r="CG62" i="28"/>
  <c r="CJ62" i="28"/>
  <c r="CL62" i="28"/>
  <c r="AO47" i="28"/>
  <c r="AP47" i="28"/>
  <c r="AO50" i="28"/>
  <c r="AP50" i="28"/>
  <c r="AO23" i="28"/>
  <c r="AP23" i="28"/>
  <c r="BD17" i="28"/>
  <c r="DD17" i="28"/>
  <c r="D17" i="30"/>
  <c r="H17" i="30"/>
  <c r="BC17" i="28"/>
  <c r="C17" i="32"/>
  <c r="H17" i="32"/>
  <c r="D47" i="30"/>
  <c r="H47" i="30"/>
  <c r="BC47" i="28"/>
  <c r="C47" i="32"/>
  <c r="H47" i="32"/>
  <c r="BD47" i="28"/>
  <c r="DD47" i="28"/>
  <c r="DE12" i="28"/>
  <c r="DH12" i="28"/>
  <c r="DJ12" i="28"/>
  <c r="C12" i="31"/>
  <c r="H12" i="31"/>
  <c r="CQ29" i="28"/>
  <c r="AE12" i="28"/>
  <c r="AF12" i="28"/>
  <c r="CF12" i="28"/>
  <c r="CG12" i="28"/>
  <c r="CJ12" i="28"/>
  <c r="CL12" i="28"/>
  <c r="AO68" i="28"/>
  <c r="AP68" i="28"/>
  <c r="CB19" i="28"/>
  <c r="EB19" i="28"/>
  <c r="F19" i="30"/>
  <c r="J19" i="30"/>
  <c r="CA19" i="28"/>
  <c r="E19" i="32"/>
  <c r="J19" i="32"/>
  <c r="AE7" i="28"/>
  <c r="AF7" i="28"/>
  <c r="CF7" i="28"/>
  <c r="CG7" i="28"/>
  <c r="CJ7" i="28"/>
  <c r="CL7" i="28"/>
  <c r="EC11" i="28"/>
  <c r="EF11" i="28"/>
  <c r="EH11" i="28"/>
  <c r="E11" i="31"/>
  <c r="J11" i="31"/>
  <c r="CQ31" i="28"/>
  <c r="F21" i="30"/>
  <c r="J21" i="30"/>
  <c r="CB21" i="28"/>
  <c r="EB21" i="28"/>
  <c r="CA21" i="28"/>
  <c r="E21" i="32"/>
  <c r="J21" i="32"/>
  <c r="DE55" i="28"/>
  <c r="CQ11" i="28"/>
  <c r="AE66" i="28"/>
  <c r="AF66" i="28"/>
  <c r="CF66" i="28"/>
  <c r="CG66" i="28"/>
  <c r="CJ66" i="28"/>
  <c r="CL66" i="28"/>
  <c r="EC16" i="28"/>
  <c r="BD22" i="28"/>
  <c r="DD22" i="28"/>
  <c r="D22" i="30"/>
  <c r="H22" i="30"/>
  <c r="BC22" i="28"/>
  <c r="C22" i="32"/>
  <c r="H22" i="32"/>
  <c r="D45" i="30"/>
  <c r="H45" i="30"/>
  <c r="BD45" i="28"/>
  <c r="DD45" i="28"/>
  <c r="BC45" i="28"/>
  <c r="C45" i="32"/>
  <c r="H45" i="32"/>
  <c r="CQ68" i="28"/>
  <c r="CB31" i="28"/>
  <c r="EB31" i="28"/>
  <c r="CA31" i="28"/>
  <c r="E31" i="32"/>
  <c r="J31" i="32"/>
  <c r="F31" i="30"/>
  <c r="J31" i="30"/>
  <c r="CQ55" i="28"/>
  <c r="CQ4" i="28"/>
  <c r="D23" i="30"/>
  <c r="H23" i="30"/>
  <c r="BD23" i="28"/>
  <c r="DD23" i="28"/>
  <c r="BC23" i="28"/>
  <c r="C23" i="32"/>
  <c r="H23" i="32"/>
  <c r="BC58" i="28"/>
  <c r="C58" i="32"/>
  <c r="H58" i="32"/>
  <c r="D58" i="30"/>
  <c r="H58" i="30"/>
  <c r="BD58" i="28"/>
  <c r="DD58" i="28"/>
  <c r="EC28" i="28"/>
  <c r="CB38" i="28"/>
  <c r="EB38" i="28"/>
  <c r="F38" i="30"/>
  <c r="J38" i="30"/>
  <c r="CA38" i="28"/>
  <c r="E38" i="32"/>
  <c r="J38" i="32"/>
  <c r="CQ71" i="28"/>
  <c r="CQ47" i="28"/>
  <c r="CQ51" i="28"/>
  <c r="EC13" i="28"/>
  <c r="EF13" i="28"/>
  <c r="CQ30" i="28"/>
  <c r="CW85" i="28"/>
  <c r="F35" i="30"/>
  <c r="J35" i="30"/>
  <c r="CA35" i="28"/>
  <c r="E35" i="32"/>
  <c r="J35" i="32"/>
  <c r="CB35" i="28"/>
  <c r="EB35" i="28"/>
  <c r="AO62" i="28"/>
  <c r="AP62" i="28"/>
  <c r="L54" i="30"/>
  <c r="AQ54" i="28"/>
  <c r="AR54" i="28"/>
  <c r="CR54" i="28"/>
  <c r="CS54" i="28"/>
  <c r="CV54" i="28"/>
  <c r="CX54" i="28"/>
  <c r="AR46" i="28"/>
  <c r="CR46" i="28"/>
  <c r="CS46" i="28"/>
  <c r="CV46" i="28"/>
  <c r="CW35" i="28"/>
  <c r="CW75" i="28"/>
  <c r="Y148" i="11"/>
  <c r="AA148" i="11"/>
  <c r="AC148" i="11"/>
  <c r="Y122" i="11"/>
  <c r="AA122" i="11"/>
  <c r="AC122" i="11"/>
  <c r="AA7" i="11"/>
  <c r="AA9" i="11"/>
  <c r="EX112" i="28"/>
  <c r="Q112" i="31"/>
  <c r="DU8" i="28"/>
  <c r="EW112" i="28"/>
  <c r="K112" i="31"/>
  <c r="CQ8" i="28"/>
  <c r="AO8" i="28"/>
  <c r="CW79" i="28"/>
  <c r="F44" i="30"/>
  <c r="J44" i="30"/>
  <c r="CB44" i="28"/>
  <c r="EB44" i="28"/>
  <c r="D62" i="30"/>
  <c r="H62" i="30"/>
  <c r="BD62" i="28"/>
  <c r="DD62" i="28"/>
  <c r="E24" i="30"/>
  <c r="I24" i="30"/>
  <c r="BP24" i="28"/>
  <c r="DP24" i="28"/>
  <c r="EU24" i="28"/>
  <c r="E25" i="29"/>
  <c r="I25" i="29"/>
  <c r="D63" i="29"/>
  <c r="H63" i="29"/>
  <c r="F45" i="29"/>
  <c r="J45" i="29"/>
  <c r="AW63" i="28"/>
  <c r="AY63" i="28"/>
  <c r="BA63" i="28"/>
  <c r="BB63" i="28"/>
  <c r="ER25" i="28"/>
  <c r="ET25" i="28"/>
  <c r="AT65" i="28"/>
  <c r="AV65" i="28"/>
  <c r="AX64" i="28"/>
  <c r="AZ64" i="28"/>
  <c r="BE64" i="28"/>
  <c r="DF64" i="28"/>
  <c r="AU64" i="28"/>
  <c r="BC62" i="28"/>
  <c r="C62" i="32"/>
  <c r="H62" i="32"/>
  <c r="BI25" i="28"/>
  <c r="BK25" i="28"/>
  <c r="BM25" i="28"/>
  <c r="BN25" i="28"/>
  <c r="BR47" i="28"/>
  <c r="BT47" i="28"/>
  <c r="BS46" i="28"/>
  <c r="BV46" i="28"/>
  <c r="BX46" i="28"/>
  <c r="CC46" i="28"/>
  <c r="ED46" i="28"/>
  <c r="BO24" i="28"/>
  <c r="D24" i="32"/>
  <c r="I24" i="32"/>
  <c r="EL27" i="28"/>
  <c r="EQ26" i="28"/>
  <c r="EP26" i="28"/>
  <c r="EM26" i="28"/>
  <c r="EN26" i="28"/>
  <c r="CA44" i="28"/>
  <c r="E44" i="32"/>
  <c r="J44" i="32"/>
  <c r="EO25" i="28"/>
  <c r="ES25" i="28"/>
  <c r="DB28" i="28"/>
  <c r="DK28" i="28"/>
  <c r="BF27" i="28"/>
  <c r="BH27" i="28"/>
  <c r="BJ26" i="28"/>
  <c r="BL26" i="28"/>
  <c r="BQ26" i="28"/>
  <c r="DR26" i="28"/>
  <c r="BG26" i="28"/>
  <c r="BU45" i="28"/>
  <c r="BW45" i="28"/>
  <c r="BY45" i="28"/>
  <c r="BZ45" i="28"/>
  <c r="DZ14" i="28"/>
  <c r="EI14" i="28"/>
  <c r="DN14" i="28"/>
  <c r="DW14" i="28"/>
  <c r="CQ69" i="28"/>
  <c r="AR81" i="28"/>
  <c r="CR81" i="28"/>
  <c r="AQ81" i="28"/>
  <c r="CW16" i="28"/>
  <c r="CW25" i="28"/>
  <c r="CA8" i="28"/>
  <c r="E8" i="32"/>
  <c r="J8" i="32"/>
  <c r="BO12" i="28"/>
  <c r="D12" i="32"/>
  <c r="I12" i="32"/>
  <c r="CW57" i="28"/>
  <c r="AF57" i="28"/>
  <c r="CF57" i="28"/>
  <c r="CG57" i="28"/>
  <c r="CJ57" i="28"/>
  <c r="CL57" i="28"/>
  <c r="CQ18" i="28"/>
  <c r="BC42" i="28"/>
  <c r="C42" i="32"/>
  <c r="H42" i="32"/>
  <c r="AR69" i="28"/>
  <c r="CR69" i="28"/>
  <c r="CS69" i="28"/>
  <c r="CV69" i="28"/>
  <c r="CX69" i="28"/>
  <c r="BD28" i="28"/>
  <c r="DD28" i="28"/>
  <c r="DE28" i="28"/>
  <c r="CW63" i="28"/>
  <c r="AF80" i="28"/>
  <c r="CF80" i="28"/>
  <c r="CG80" i="28"/>
  <c r="CJ80" i="28"/>
  <c r="CL80" i="28"/>
  <c r="AE84" i="28"/>
  <c r="BC28" i="28"/>
  <c r="C28" i="32"/>
  <c r="H28" i="32"/>
  <c r="AF73" i="28"/>
  <c r="CF73" i="28"/>
  <c r="CG73" i="28"/>
  <c r="CJ73" i="28"/>
  <c r="CL73" i="28"/>
  <c r="AR24" i="28"/>
  <c r="CR24" i="28"/>
  <c r="CS24" i="28"/>
  <c r="CV24" i="28"/>
  <c r="CX24" i="28"/>
  <c r="EV24" i="28"/>
  <c r="F24" i="31"/>
  <c r="L24" i="31"/>
  <c r="AE29" i="28"/>
  <c r="E18" i="30"/>
  <c r="I18" i="30"/>
  <c r="D19" i="30"/>
  <c r="H19" i="30"/>
  <c r="AE83" i="28"/>
  <c r="CQ36" i="28"/>
  <c r="BP12" i="28"/>
  <c r="DP12" i="28"/>
  <c r="DQ12" i="28"/>
  <c r="DT12" i="28"/>
  <c r="DV12" i="28"/>
  <c r="D12" i="31"/>
  <c r="I12" i="31"/>
  <c r="D24" i="30"/>
  <c r="H24" i="30"/>
  <c r="E15" i="30"/>
  <c r="I15" i="30"/>
  <c r="BP18" i="28"/>
  <c r="DP18" i="28"/>
  <c r="DQ18" i="28"/>
  <c r="D11" i="30"/>
  <c r="H11" i="30"/>
  <c r="AE56" i="28"/>
  <c r="AE22" i="28"/>
  <c r="F41" i="30"/>
  <c r="J41" i="30"/>
  <c r="CB41" i="28"/>
  <c r="EB41" i="28"/>
  <c r="EC41" i="28"/>
  <c r="F43" i="30"/>
  <c r="J43" i="30"/>
  <c r="CQ39" i="28"/>
  <c r="CA39" i="28"/>
  <c r="E39" i="32"/>
  <c r="J39" i="32"/>
  <c r="E9" i="30"/>
  <c r="I9" i="30"/>
  <c r="F14" i="30"/>
  <c r="J14" i="30"/>
  <c r="D40" i="30"/>
  <c r="H40" i="30"/>
  <c r="CW59" i="28"/>
  <c r="BD30" i="28"/>
  <c r="DD30" i="28"/>
  <c r="DE30" i="28"/>
  <c r="CW36" i="28"/>
  <c r="CQ82" i="28"/>
  <c r="AR39" i="28"/>
  <c r="CR39" i="28"/>
  <c r="CS39" i="28"/>
  <c r="CV39" i="28"/>
  <c r="CQ62" i="28"/>
  <c r="CW53" i="28"/>
  <c r="AF46" i="28"/>
  <c r="CF46" i="28"/>
  <c r="CG46" i="28"/>
  <c r="CJ46" i="28"/>
  <c r="CL46" i="28"/>
  <c r="AF52" i="28"/>
  <c r="CF52" i="28"/>
  <c r="CG52" i="28"/>
  <c r="CJ52" i="28"/>
  <c r="CL52" i="28"/>
  <c r="BC30" i="28"/>
  <c r="C30" i="32"/>
  <c r="H30" i="32"/>
  <c r="F24" i="30"/>
  <c r="J24" i="30"/>
  <c r="CQ59" i="28"/>
  <c r="CQ53" i="28"/>
  <c r="E8" i="30"/>
  <c r="I8" i="30"/>
  <c r="CQ7" i="28"/>
  <c r="AE75" i="28"/>
  <c r="BD46" i="28"/>
  <c r="DD46" i="28"/>
  <c r="DE46" i="28"/>
  <c r="CQ27" i="28"/>
  <c r="CW82" i="28"/>
  <c r="AR32" i="28"/>
  <c r="CR32" i="28"/>
  <c r="CS32" i="28"/>
  <c r="CV32" i="28"/>
  <c r="CX32" i="28"/>
  <c r="EV32" i="28"/>
  <c r="F32" i="31"/>
  <c r="L32" i="31"/>
  <c r="AQ32" i="28"/>
  <c r="F32" i="32"/>
  <c r="L32" i="32"/>
  <c r="BC27" i="28"/>
  <c r="C27" i="32"/>
  <c r="H27" i="32"/>
  <c r="AQ78" i="28"/>
  <c r="CB39" i="28"/>
  <c r="EB39" i="28"/>
  <c r="EC39" i="28"/>
  <c r="BP14" i="28"/>
  <c r="DP14" i="28"/>
  <c r="DQ14" i="28"/>
  <c r="DT14" i="28"/>
  <c r="F12" i="30"/>
  <c r="J12" i="30"/>
  <c r="CB12" i="28"/>
  <c r="EB12" i="28"/>
  <c r="EC12" i="28"/>
  <c r="EF12" i="28"/>
  <c r="EH12" i="28"/>
  <c r="E12" i="31"/>
  <c r="J12" i="31"/>
  <c r="BP13" i="28"/>
  <c r="DP13" i="28"/>
  <c r="DQ13" i="28"/>
  <c r="DT13" i="28"/>
  <c r="CW39" i="28"/>
  <c r="CY13" i="28"/>
  <c r="CV13" i="28"/>
  <c r="L78" i="30"/>
  <c r="M78" i="30"/>
  <c r="AE15" i="28"/>
  <c r="CB37" i="28"/>
  <c r="EB37" i="28"/>
  <c r="EC37" i="28"/>
  <c r="AF48" i="28"/>
  <c r="CF48" i="28"/>
  <c r="CG48" i="28"/>
  <c r="CJ48" i="28"/>
  <c r="CL48" i="28"/>
  <c r="CW13" i="28"/>
  <c r="AE61" i="28"/>
  <c r="CQ81" i="28"/>
  <c r="CW9" i="28"/>
  <c r="CW62" i="28"/>
  <c r="CW27" i="28"/>
  <c r="D21" i="30"/>
  <c r="H21" i="30"/>
  <c r="AE17" i="28"/>
  <c r="CY48" i="28"/>
  <c r="CQ58" i="28"/>
  <c r="BD5" i="28"/>
  <c r="DD5" i="28"/>
  <c r="DE5" i="28"/>
  <c r="DH5" i="28"/>
  <c r="DJ5" i="28"/>
  <c r="C5" i="31"/>
  <c r="H5" i="31"/>
  <c r="AE5" i="28"/>
  <c r="CQ9" i="28"/>
  <c r="CW7" i="28"/>
  <c r="BO13" i="28"/>
  <c r="D13" i="32"/>
  <c r="I13" i="32"/>
  <c r="AR26" i="28"/>
  <c r="CR26" i="28"/>
  <c r="CS26" i="28"/>
  <c r="CV26" i="28"/>
  <c r="CX26" i="28"/>
  <c r="L26" i="30"/>
  <c r="M26" i="30"/>
  <c r="AQ6" i="28"/>
  <c r="L6" i="30"/>
  <c r="M6" i="30"/>
  <c r="CW80" i="28"/>
  <c r="CW38" i="28"/>
  <c r="CB23" i="28"/>
  <c r="EB23" i="28"/>
  <c r="EC23" i="28"/>
  <c r="BC11" i="28"/>
  <c r="C11" i="32"/>
  <c r="H11" i="32"/>
  <c r="AE11" i="28"/>
  <c r="CW18" i="28"/>
  <c r="BD61" i="28"/>
  <c r="DD61" i="28"/>
  <c r="DE61" i="28"/>
  <c r="CY56" i="28"/>
  <c r="CQ38" i="28"/>
  <c r="CQ60" i="28"/>
  <c r="L13" i="30"/>
  <c r="M13" i="30"/>
  <c r="CQ63" i="28"/>
  <c r="AF37" i="28"/>
  <c r="CF37" i="28"/>
  <c r="CG37" i="28"/>
  <c r="CJ37" i="28"/>
  <c r="CL37" i="28"/>
  <c r="CA40" i="28"/>
  <c r="E40" i="32"/>
  <c r="J40" i="32"/>
  <c r="CB40" i="28"/>
  <c r="EB40" i="28"/>
  <c r="EC40" i="28"/>
  <c r="CB9" i="28"/>
  <c r="EB9" i="28"/>
  <c r="EC9" i="28"/>
  <c r="EF9" i="28"/>
  <c r="EH9" i="28"/>
  <c r="E9" i="31"/>
  <c r="J9" i="31"/>
  <c r="BC18" i="28"/>
  <c r="C18" i="32"/>
  <c r="H18" i="32"/>
  <c r="CY80" i="28"/>
  <c r="CQ37" i="28"/>
  <c r="CQ57" i="28"/>
  <c r="CW60" i="28"/>
  <c r="E4" i="30"/>
  <c r="I4" i="30"/>
  <c r="CW69" i="28"/>
  <c r="AE85" i="28"/>
  <c r="AR76" i="28"/>
  <c r="CR76" i="28"/>
  <c r="CS76" i="28"/>
  <c r="CV76" i="28"/>
  <c r="CX76" i="28"/>
  <c r="AQ49" i="28"/>
  <c r="AR49" i="28"/>
  <c r="CR49" i="28"/>
  <c r="CS49" i="28"/>
  <c r="CV49" i="28"/>
  <c r="CX49" i="28"/>
  <c r="BO8" i="28"/>
  <c r="D8" i="32"/>
  <c r="I8" i="32"/>
  <c r="L46" i="30"/>
  <c r="K46" i="30"/>
  <c r="AR6" i="28"/>
  <c r="CR6" i="28"/>
  <c r="CS6" i="28"/>
  <c r="CV6" i="28"/>
  <c r="CX6" i="28"/>
  <c r="EV6" i="28"/>
  <c r="EW6" i="28"/>
  <c r="K6" i="31"/>
  <c r="CW58" i="28"/>
  <c r="L81" i="30"/>
  <c r="K81" i="30"/>
  <c r="AF21" i="28"/>
  <c r="CF21" i="28"/>
  <c r="CG21" i="28"/>
  <c r="CJ21" i="28"/>
  <c r="CL21" i="28"/>
  <c r="AQ26" i="28"/>
  <c r="F26" i="32"/>
  <c r="L26" i="32"/>
  <c r="BO4" i="28"/>
  <c r="D4" i="32"/>
  <c r="I4" i="32"/>
  <c r="D5" i="30"/>
  <c r="H5" i="30"/>
  <c r="BP9" i="28"/>
  <c r="DP9" i="28"/>
  <c r="DQ9" i="28"/>
  <c r="DT9" i="28"/>
  <c r="DV9" i="28"/>
  <c r="D9" i="31"/>
  <c r="I9" i="31"/>
  <c r="BP10" i="28"/>
  <c r="DP10" i="28"/>
  <c r="DQ10" i="28"/>
  <c r="DT10" i="28"/>
  <c r="DV10" i="28"/>
  <c r="D10" i="31"/>
  <c r="I10" i="31"/>
  <c r="CA14" i="28"/>
  <c r="E14" i="32"/>
  <c r="J14" i="32"/>
  <c r="CW81" i="28"/>
  <c r="BC32" i="28"/>
  <c r="C32" i="32"/>
  <c r="H32" i="32"/>
  <c r="AE76" i="28"/>
  <c r="F76" i="32"/>
  <c r="L76" i="32"/>
  <c r="BD40" i="28"/>
  <c r="DD40" i="28"/>
  <c r="DE40" i="28"/>
  <c r="AF26" i="28"/>
  <c r="CF26" i="28"/>
  <c r="CG26" i="28"/>
  <c r="CJ26" i="28"/>
  <c r="CL26" i="28"/>
  <c r="AE14" i="28"/>
  <c r="CB15" i="28"/>
  <c r="EB15" i="28"/>
  <c r="EC15" i="28"/>
  <c r="AF25" i="28"/>
  <c r="CF25" i="28"/>
  <c r="CG25" i="28"/>
  <c r="CJ25" i="28"/>
  <c r="CL25" i="28"/>
  <c r="AE59" i="28"/>
  <c r="D46" i="30"/>
  <c r="H46" i="30"/>
  <c r="L28" i="30"/>
  <c r="M28" i="30"/>
  <c r="L67" i="30"/>
  <c r="K67" i="30"/>
  <c r="BD41" i="28"/>
  <c r="DD41" i="28"/>
  <c r="DE41" i="28"/>
  <c r="L48" i="30"/>
  <c r="K48" i="30"/>
  <c r="BC8" i="28"/>
  <c r="C8" i="32"/>
  <c r="H8" i="32"/>
  <c r="L36" i="30"/>
  <c r="M36" i="30"/>
  <c r="CQ14" i="28"/>
  <c r="CW14" i="28"/>
  <c r="AF9" i="28"/>
  <c r="CF9" i="28"/>
  <c r="CG9" i="28"/>
  <c r="CJ9" i="28"/>
  <c r="CL9" i="28"/>
  <c r="BC51" i="28"/>
  <c r="C51" i="32"/>
  <c r="H51" i="32"/>
  <c r="AE42" i="28"/>
  <c r="CB27" i="28"/>
  <c r="EB27" i="28"/>
  <c r="EC27" i="28"/>
  <c r="AE78" i="28"/>
  <c r="L76" i="30"/>
  <c r="K76" i="30"/>
  <c r="E10" i="30"/>
  <c r="I10" i="30"/>
  <c r="D32" i="30"/>
  <c r="H32" i="30"/>
  <c r="AF81" i="28"/>
  <c r="CF81" i="28"/>
  <c r="CG81" i="28"/>
  <c r="CJ81" i="28"/>
  <c r="CL81" i="28"/>
  <c r="AF79" i="28"/>
  <c r="CF79" i="28"/>
  <c r="CG79" i="28"/>
  <c r="CJ79" i="28"/>
  <c r="CL79" i="28"/>
  <c r="F37" i="30"/>
  <c r="J37" i="30"/>
  <c r="BC25" i="28"/>
  <c r="C25" i="32"/>
  <c r="H25" i="32"/>
  <c r="CW48" i="28"/>
  <c r="AE41" i="28"/>
  <c r="F15" i="30"/>
  <c r="J15" i="30"/>
  <c r="BO16" i="28"/>
  <c r="D16" i="32"/>
  <c r="I16" i="32"/>
  <c r="BP16" i="28"/>
  <c r="DP16" i="28"/>
  <c r="DQ16" i="28"/>
  <c r="BC41" i="28"/>
  <c r="C41" i="32"/>
  <c r="H41" i="32"/>
  <c r="AF67" i="28"/>
  <c r="CF67" i="28"/>
  <c r="CG67" i="28"/>
  <c r="CJ67" i="28"/>
  <c r="CL67" i="28"/>
  <c r="EV67" i="28"/>
  <c r="EX67" i="28"/>
  <c r="Q67" i="31"/>
  <c r="BO14" i="28"/>
  <c r="D14" i="32"/>
  <c r="I14" i="32"/>
  <c r="CA24" i="28"/>
  <c r="E24" i="32"/>
  <c r="J24" i="32"/>
  <c r="BC6" i="28"/>
  <c r="C6" i="32"/>
  <c r="H6" i="32"/>
  <c r="CQ23" i="28"/>
  <c r="L24" i="30"/>
  <c r="K24" i="30"/>
  <c r="AE86" i="28"/>
  <c r="BD34" i="28"/>
  <c r="DD34" i="28"/>
  <c r="DE34" i="28"/>
  <c r="CB34" i="28"/>
  <c r="EB34" i="28"/>
  <c r="EC34" i="28"/>
  <c r="CA34" i="28"/>
  <c r="E34" i="32"/>
  <c r="J34" i="32"/>
  <c r="AF47" i="28"/>
  <c r="CF47" i="28"/>
  <c r="CG47" i="28"/>
  <c r="CJ47" i="28"/>
  <c r="CL47" i="28"/>
  <c r="AE16" i="28"/>
  <c r="AE74" i="28"/>
  <c r="F74" i="32"/>
  <c r="L74" i="32"/>
  <c r="AE49" i="28"/>
  <c r="AF10" i="28"/>
  <c r="CF10" i="28"/>
  <c r="CG10" i="28"/>
  <c r="CJ10" i="28"/>
  <c r="CL10" i="28"/>
  <c r="CA6" i="28"/>
  <c r="E6" i="32"/>
  <c r="J6" i="32"/>
  <c r="CY5" i="28"/>
  <c r="L49" i="30"/>
  <c r="K49" i="30"/>
  <c r="L77" i="30"/>
  <c r="M77" i="30"/>
  <c r="AF8" i="28"/>
  <c r="CF8" i="28"/>
  <c r="CG8" i="28"/>
  <c r="CJ8" i="28"/>
  <c r="CL8" i="28"/>
  <c r="L69" i="30"/>
  <c r="M69" i="30"/>
  <c r="AQ65" i="28"/>
  <c r="F65" i="32"/>
  <c r="L65" i="32"/>
  <c r="E7" i="30"/>
  <c r="I7" i="30"/>
  <c r="CA42" i="28"/>
  <c r="E42" i="32"/>
  <c r="J42" i="32"/>
  <c r="AF34" i="28"/>
  <c r="CF34" i="28"/>
  <c r="CG34" i="28"/>
  <c r="CJ34" i="28"/>
  <c r="CL34" i="28"/>
  <c r="AE13" i="28"/>
  <c r="BC19" i="28"/>
  <c r="C19" i="32"/>
  <c r="H19" i="32"/>
  <c r="AE77" i="28"/>
  <c r="F77" i="32"/>
  <c r="L77" i="32"/>
  <c r="BD13" i="28"/>
  <c r="DD13" i="28"/>
  <c r="DE13" i="28"/>
  <c r="DH13" i="28"/>
  <c r="DJ13" i="28"/>
  <c r="C13" i="31"/>
  <c r="H13" i="31"/>
  <c r="L41" i="30"/>
  <c r="M41" i="30"/>
  <c r="AE45" i="28"/>
  <c r="BD51" i="28"/>
  <c r="DD51" i="28"/>
  <c r="DE51" i="28"/>
  <c r="AE69" i="28"/>
  <c r="F69" i="32"/>
  <c r="L69" i="32"/>
  <c r="D34" i="30"/>
  <c r="H34" i="30"/>
  <c r="CB42" i="28"/>
  <c r="EB42" i="28"/>
  <c r="EC42" i="28"/>
  <c r="AF70" i="28"/>
  <c r="CF70" i="28"/>
  <c r="CG70" i="28"/>
  <c r="CJ70" i="28"/>
  <c r="CL70" i="28"/>
  <c r="L74" i="30"/>
  <c r="K74" i="30"/>
  <c r="CQ52" i="28"/>
  <c r="AQ41" i="28"/>
  <c r="BD21" i="28"/>
  <c r="DD21" i="28"/>
  <c r="DE21" i="28"/>
  <c r="DH21" i="28"/>
  <c r="DJ21" i="28"/>
  <c r="C21" i="31"/>
  <c r="H21" i="31"/>
  <c r="D57" i="30"/>
  <c r="H57" i="30"/>
  <c r="BO7" i="28"/>
  <c r="D7" i="32"/>
  <c r="I7" i="32"/>
  <c r="AE40" i="28"/>
  <c r="E5" i="30"/>
  <c r="I5" i="30"/>
  <c r="E23" i="30"/>
  <c r="I23" i="30"/>
  <c r="BP23" i="28"/>
  <c r="DP23" i="28"/>
  <c r="DQ23" i="28"/>
  <c r="AF39" i="28"/>
  <c r="CF39" i="28"/>
  <c r="CG39" i="28"/>
  <c r="CJ39" i="28"/>
  <c r="CL39" i="28"/>
  <c r="CA43" i="28"/>
  <c r="E43" i="32"/>
  <c r="J43" i="32"/>
  <c r="BO5" i="28"/>
  <c r="D5" i="32"/>
  <c r="I5" i="32"/>
  <c r="D13" i="30"/>
  <c r="H13" i="30"/>
  <c r="BD59" i="28"/>
  <c r="DD59" i="28"/>
  <c r="DE59" i="28"/>
  <c r="AF65" i="28"/>
  <c r="CF65" i="28"/>
  <c r="CG65" i="28"/>
  <c r="CJ65" i="28"/>
  <c r="CL65" i="28"/>
  <c r="AQ13" i="28"/>
  <c r="D20" i="30"/>
  <c r="H20" i="30"/>
  <c r="F46" i="32"/>
  <c r="L46" i="32"/>
  <c r="AR28" i="28"/>
  <c r="CR28" i="28"/>
  <c r="CS28" i="28"/>
  <c r="CV28" i="28"/>
  <c r="CX28" i="28"/>
  <c r="L65" i="30"/>
  <c r="K65" i="30"/>
  <c r="BD37" i="28"/>
  <c r="DD37" i="28"/>
  <c r="DE37" i="28"/>
  <c r="BD20" i="28"/>
  <c r="DD20" i="28"/>
  <c r="DE20" i="28"/>
  <c r="DH20" i="28"/>
  <c r="DJ20" i="28"/>
  <c r="C20" i="31"/>
  <c r="H20" i="31"/>
  <c r="BC57" i="28"/>
  <c r="C57" i="32"/>
  <c r="H57" i="32"/>
  <c r="AF68" i="28"/>
  <c r="CF68" i="28"/>
  <c r="CG68" i="28"/>
  <c r="CJ68" i="28"/>
  <c r="CL68" i="28"/>
  <c r="BC26" i="28"/>
  <c r="C26" i="32"/>
  <c r="H26" i="32"/>
  <c r="AF51" i="28"/>
  <c r="CF51" i="28"/>
  <c r="CG51" i="28"/>
  <c r="CJ51" i="28"/>
  <c r="CL51" i="28"/>
  <c r="D59" i="30"/>
  <c r="H59" i="30"/>
  <c r="EV74" i="28"/>
  <c r="EX74" i="28"/>
  <c r="Q74" i="31"/>
  <c r="D8" i="30"/>
  <c r="H8" i="30"/>
  <c r="F8" i="30"/>
  <c r="J8" i="30"/>
  <c r="AR36" i="28"/>
  <c r="CR36" i="28"/>
  <c r="CS36" i="28"/>
  <c r="CV36" i="28"/>
  <c r="CX36" i="28"/>
  <c r="EV36" i="28"/>
  <c r="F36" i="31"/>
  <c r="L36" i="31"/>
  <c r="L39" i="30"/>
  <c r="K39" i="30"/>
  <c r="D37" i="30"/>
  <c r="H37" i="30"/>
  <c r="BD27" i="28"/>
  <c r="DD27" i="28"/>
  <c r="DE27" i="28"/>
  <c r="DH27" i="28"/>
  <c r="DJ27" i="28"/>
  <c r="C27" i="31"/>
  <c r="H27" i="31"/>
  <c r="F9" i="30"/>
  <c r="J9" i="30"/>
  <c r="AF31" i="28"/>
  <c r="CF31" i="28"/>
  <c r="CG31" i="28"/>
  <c r="CJ31" i="28"/>
  <c r="CL31" i="28"/>
  <c r="AE33" i="28"/>
  <c r="AE18" i="28"/>
  <c r="AE64" i="28"/>
  <c r="BD26" i="28"/>
  <c r="DD26" i="28"/>
  <c r="DE26" i="28"/>
  <c r="DH26" i="28"/>
  <c r="DJ26" i="28"/>
  <c r="C26" i="31"/>
  <c r="H26" i="31"/>
  <c r="AF28" i="28"/>
  <c r="CF28" i="28"/>
  <c r="CG28" i="28"/>
  <c r="CJ28" i="28"/>
  <c r="CL28" i="28"/>
  <c r="BO15" i="28"/>
  <c r="D15" i="32"/>
  <c r="I15" i="32"/>
  <c r="F48" i="32"/>
  <c r="L48" i="32"/>
  <c r="EV41" i="28"/>
  <c r="EX41" i="28"/>
  <c r="Q41" i="31"/>
  <c r="BC24" i="28"/>
  <c r="C24" i="32"/>
  <c r="H24" i="32"/>
  <c r="EV69" i="28"/>
  <c r="EW69" i="28"/>
  <c r="K69" i="31"/>
  <c r="AP79" i="28"/>
  <c r="AR79" i="28"/>
  <c r="CR79" i="28"/>
  <c r="CS79" i="28"/>
  <c r="CV79" i="28"/>
  <c r="CX79" i="28"/>
  <c r="EV79" i="28"/>
  <c r="F79" i="31"/>
  <c r="L79" i="31"/>
  <c r="F81" i="32"/>
  <c r="L81" i="32"/>
  <c r="AP70" i="28"/>
  <c r="AR70" i="28"/>
  <c r="CR70" i="28"/>
  <c r="CS70" i="28"/>
  <c r="CV70" i="28"/>
  <c r="CX70" i="28"/>
  <c r="AP58" i="28"/>
  <c r="AR58" i="28"/>
  <c r="CR58" i="28"/>
  <c r="CS58" i="28"/>
  <c r="CV58" i="28"/>
  <c r="CX58" i="28"/>
  <c r="EV58" i="28"/>
  <c r="EW58" i="28"/>
  <c r="K58" i="31"/>
  <c r="AP82" i="28"/>
  <c r="L82" i="30"/>
  <c r="M82" i="30"/>
  <c r="AP51" i="28"/>
  <c r="L51" i="30"/>
  <c r="AP16" i="28"/>
  <c r="AQ16" i="28"/>
  <c r="F67" i="32"/>
  <c r="L67" i="32"/>
  <c r="F24" i="32"/>
  <c r="L24" i="32"/>
  <c r="AP86" i="28"/>
  <c r="AQ86" i="28"/>
  <c r="AP52" i="28"/>
  <c r="AR52" i="28"/>
  <c r="CR52" i="28"/>
  <c r="CS52" i="28"/>
  <c r="CV52" i="28"/>
  <c r="CX52" i="28"/>
  <c r="AP25" i="28"/>
  <c r="AP8" i="28"/>
  <c r="AR8" i="28"/>
  <c r="CR8" i="28"/>
  <c r="CS8" i="28"/>
  <c r="CV8" i="28"/>
  <c r="CX8" i="28"/>
  <c r="F39" i="32"/>
  <c r="L39" i="32"/>
  <c r="AP38" i="28"/>
  <c r="AQ38" i="28"/>
  <c r="F38" i="32"/>
  <c r="L38" i="32"/>
  <c r="AP11" i="28"/>
  <c r="AQ11" i="28"/>
  <c r="AP80" i="28"/>
  <c r="L80" i="30"/>
  <c r="AP84" i="28"/>
  <c r="AQ84" i="28"/>
  <c r="F84" i="32"/>
  <c r="L84" i="32"/>
  <c r="AP9" i="28"/>
  <c r="AQ9" i="28"/>
  <c r="F9" i="32"/>
  <c r="AP22" i="28"/>
  <c r="AR22" i="28"/>
  <c r="CR22" i="28"/>
  <c r="CS22" i="28"/>
  <c r="CV22" i="28"/>
  <c r="CX22" i="28"/>
  <c r="EV22" i="28"/>
  <c r="AP34" i="28"/>
  <c r="AR34" i="28"/>
  <c r="CR34" i="28"/>
  <c r="CS34" i="28"/>
  <c r="CV34" i="28"/>
  <c r="CX34" i="28"/>
  <c r="EV34" i="28"/>
  <c r="F28" i="32"/>
  <c r="L28" i="32"/>
  <c r="AP83" i="28"/>
  <c r="AR83" i="28"/>
  <c r="CR83" i="28"/>
  <c r="CS83" i="28"/>
  <c r="CV83" i="28"/>
  <c r="CX83" i="28"/>
  <c r="EV83" i="28"/>
  <c r="AP33" i="28"/>
  <c r="L33" i="30"/>
  <c r="EV49" i="28"/>
  <c r="EX49" i="28"/>
  <c r="Q49" i="31"/>
  <c r="AP75" i="28"/>
  <c r="AQ75" i="28"/>
  <c r="AP53" i="28"/>
  <c r="AR53" i="28"/>
  <c r="CR53" i="28"/>
  <c r="CS53" i="28"/>
  <c r="CV53" i="28"/>
  <c r="CX53" i="28"/>
  <c r="EV53" i="28"/>
  <c r="EW53" i="28"/>
  <c r="K53" i="31"/>
  <c r="AP21" i="28"/>
  <c r="AR21" i="28"/>
  <c r="CR21" i="28"/>
  <c r="CS21" i="28"/>
  <c r="CV21" i="28"/>
  <c r="CX21" i="28"/>
  <c r="AP29" i="28"/>
  <c r="AQ29" i="28"/>
  <c r="F29" i="32"/>
  <c r="L29" i="32"/>
  <c r="AP66" i="28"/>
  <c r="AR66" i="28"/>
  <c r="CR66" i="28"/>
  <c r="CS66" i="28"/>
  <c r="CV66" i="28"/>
  <c r="CX66" i="28"/>
  <c r="EV66" i="28"/>
  <c r="EW66" i="28"/>
  <c r="K66" i="31"/>
  <c r="AP61" i="28"/>
  <c r="AR61" i="28"/>
  <c r="CR61" i="28"/>
  <c r="CS61" i="28"/>
  <c r="CV61" i="28"/>
  <c r="CX61" i="28"/>
  <c r="EV61" i="28"/>
  <c r="AP35" i="28"/>
  <c r="L35" i="30"/>
  <c r="AP31" i="28"/>
  <c r="AQ31" i="28"/>
  <c r="F31" i="32"/>
  <c r="AP30" i="28"/>
  <c r="AQ30" i="28"/>
  <c r="F30" i="32"/>
  <c r="AP40" i="28"/>
  <c r="L40" i="30"/>
  <c r="AP59" i="28"/>
  <c r="AR59" i="28"/>
  <c r="CR59" i="28"/>
  <c r="CS59" i="28"/>
  <c r="CV59" i="28"/>
  <c r="CX59" i="28"/>
  <c r="EV59" i="28"/>
  <c r="F59" i="31"/>
  <c r="L59" i="31"/>
  <c r="AP57" i="28"/>
  <c r="L57" i="30"/>
  <c r="AP12" i="28"/>
  <c r="AQ12" i="28"/>
  <c r="F12" i="32"/>
  <c r="L12" i="32"/>
  <c r="AP55" i="28"/>
  <c r="AQ55" i="28"/>
  <c r="F55" i="32"/>
  <c r="AP72" i="28"/>
  <c r="AQ72" i="28"/>
  <c r="F72" i="32"/>
  <c r="AP85" i="28"/>
  <c r="AR85" i="28"/>
  <c r="CR85" i="28"/>
  <c r="CS85" i="28"/>
  <c r="CV85" i="28"/>
  <c r="CX85" i="28"/>
  <c r="EV85" i="28"/>
  <c r="AP42" i="28"/>
  <c r="L42" i="30"/>
  <c r="AP63" i="28"/>
  <c r="AQ63" i="28"/>
  <c r="F63" i="32"/>
  <c r="AP15" i="28"/>
  <c r="AQ15" i="28"/>
  <c r="AP10" i="28"/>
  <c r="AQ10" i="28"/>
  <c r="F10" i="32"/>
  <c r="AP5" i="28"/>
  <c r="AE6" i="28"/>
  <c r="AP18" i="28"/>
  <c r="AQ18" i="28"/>
  <c r="AP44" i="28"/>
  <c r="O13" i="31"/>
  <c r="R26" i="31"/>
  <c r="P12" i="11"/>
  <c r="D36" i="12"/>
  <c r="P13" i="11"/>
  <c r="Q10" i="11"/>
  <c r="Q11" i="11"/>
  <c r="K45" i="12"/>
  <c r="L45" i="12"/>
  <c r="P13" i="31"/>
  <c r="N27" i="31"/>
  <c r="K39" i="12"/>
  <c r="CG4" i="28"/>
  <c r="CJ4" i="28"/>
  <c r="CL4" i="28"/>
  <c r="J45" i="12"/>
  <c r="CX46" i="28"/>
  <c r="M67" i="30"/>
  <c r="M74" i="30"/>
  <c r="EW76" i="28"/>
  <c r="K76" i="31"/>
  <c r="EV44" i="28"/>
  <c r="F44" i="31"/>
  <c r="L44" i="31"/>
  <c r="K78" i="30"/>
  <c r="DV13" i="28"/>
  <c r="D13" i="31"/>
  <c r="I13" i="31"/>
  <c r="EX76" i="28"/>
  <c r="Q76" i="31"/>
  <c r="F78" i="31"/>
  <c r="L78" i="31"/>
  <c r="M32" i="30"/>
  <c r="EX78" i="28"/>
  <c r="Q78" i="31"/>
  <c r="K28" i="32"/>
  <c r="C4" i="31"/>
  <c r="H4" i="31"/>
  <c r="M65" i="30"/>
  <c r="F74" i="31"/>
  <c r="L74" i="31"/>
  <c r="DJ8" i="28"/>
  <c r="C8" i="31"/>
  <c r="H8" i="31"/>
  <c r="F54" i="32"/>
  <c r="L54" i="32"/>
  <c r="F36" i="32"/>
  <c r="L36" i="32"/>
  <c r="EH13" i="28"/>
  <c r="E13" i="31"/>
  <c r="J13" i="31"/>
  <c r="EV54" i="28"/>
  <c r="EX54" i="28"/>
  <c r="Q54" i="31"/>
  <c r="DZ15" i="28"/>
  <c r="EA14" i="28"/>
  <c r="P14" i="31"/>
  <c r="EG14" i="28"/>
  <c r="DH28" i="28"/>
  <c r="DC28" i="28"/>
  <c r="N28" i="31"/>
  <c r="DI28" i="28"/>
  <c r="DN15" i="28"/>
  <c r="DW15" i="28"/>
  <c r="DO14" i="28"/>
  <c r="O14" i="31"/>
  <c r="DU14" i="28"/>
  <c r="EF14" i="28"/>
  <c r="EV63" i="28"/>
  <c r="F63" i="31"/>
  <c r="L63" i="31"/>
  <c r="DV8" i="28"/>
  <c r="D8" i="31"/>
  <c r="I8" i="31"/>
  <c r="L45" i="30"/>
  <c r="AR45" i="28"/>
  <c r="CR45" i="28"/>
  <c r="AQ45" i="28"/>
  <c r="L68" i="30"/>
  <c r="AQ68" i="28"/>
  <c r="F68" i="32"/>
  <c r="L68" i="32"/>
  <c r="AR68" i="28"/>
  <c r="CR68" i="28"/>
  <c r="CS68" i="28"/>
  <c r="CV68" i="28"/>
  <c r="CX68" i="28"/>
  <c r="EV68" i="28"/>
  <c r="F68" i="31"/>
  <c r="L68" i="31"/>
  <c r="L47" i="30"/>
  <c r="AR47" i="28"/>
  <c r="CR47" i="28"/>
  <c r="CS47" i="28"/>
  <c r="CV47" i="28"/>
  <c r="CX47" i="28"/>
  <c r="AQ47" i="28"/>
  <c r="F47" i="32"/>
  <c r="L47" i="32"/>
  <c r="K36" i="30"/>
  <c r="EC7" i="28"/>
  <c r="EF7" i="28"/>
  <c r="EH7" i="28"/>
  <c r="E7" i="31"/>
  <c r="J7" i="31"/>
  <c r="AR17" i="28"/>
  <c r="CR17" i="28"/>
  <c r="CS17" i="28"/>
  <c r="CV17" i="28"/>
  <c r="CX17" i="28"/>
  <c r="EV17" i="28"/>
  <c r="AQ17" i="28"/>
  <c r="L17" i="30"/>
  <c r="L64" i="30"/>
  <c r="AQ64" i="28"/>
  <c r="AR64" i="28"/>
  <c r="CR64" i="28"/>
  <c r="AR7" i="28"/>
  <c r="CR7" i="28"/>
  <c r="CS7" i="28"/>
  <c r="CV7" i="28"/>
  <c r="L7" i="30"/>
  <c r="AQ7" i="28"/>
  <c r="F7" i="32"/>
  <c r="L7" i="32"/>
  <c r="DQ17" i="28"/>
  <c r="DE38" i="28"/>
  <c r="DE62" i="28"/>
  <c r="AR62" i="28"/>
  <c r="CR62" i="28"/>
  <c r="CS62" i="28"/>
  <c r="CV62" i="28"/>
  <c r="AQ62" i="28"/>
  <c r="F62" i="32"/>
  <c r="L62" i="32"/>
  <c r="L62" i="30"/>
  <c r="DE58" i="28"/>
  <c r="DE45" i="28"/>
  <c r="DE17" i="28"/>
  <c r="DH17" i="28"/>
  <c r="DJ17" i="28"/>
  <c r="C17" i="31"/>
  <c r="H17" i="31"/>
  <c r="AR71" i="28"/>
  <c r="CR71" i="28"/>
  <c r="CS71" i="28"/>
  <c r="CV71" i="28"/>
  <c r="CX71" i="28"/>
  <c r="EV71" i="28"/>
  <c r="F71" i="31"/>
  <c r="L71" i="31"/>
  <c r="L71" i="30"/>
  <c r="AQ71" i="28"/>
  <c r="F71" i="32"/>
  <c r="L71" i="32"/>
  <c r="AR4" i="28"/>
  <c r="CR4" i="28"/>
  <c r="CS4" i="28"/>
  <c r="CV4" i="28"/>
  <c r="CX4" i="28"/>
  <c r="AQ4" i="28"/>
  <c r="F4" i="32"/>
  <c r="L4" i="32"/>
  <c r="L4" i="30"/>
  <c r="AR43" i="28"/>
  <c r="CR43" i="28"/>
  <c r="L43" i="30"/>
  <c r="AQ43" i="28"/>
  <c r="F43" i="32"/>
  <c r="L43" i="32"/>
  <c r="AQ37" i="28"/>
  <c r="F37" i="32"/>
  <c r="L37" i="32"/>
  <c r="L37" i="30"/>
  <c r="AR37" i="28"/>
  <c r="CR37" i="28"/>
  <c r="DQ21" i="28"/>
  <c r="DQ11" i="28"/>
  <c r="DT11" i="28"/>
  <c r="DV11" i="28"/>
  <c r="D11" i="31"/>
  <c r="I11" i="31"/>
  <c r="AR60" i="28"/>
  <c r="CR60" i="28"/>
  <c r="CS60" i="28"/>
  <c r="CV60" i="28"/>
  <c r="CX60" i="28"/>
  <c r="EV60" i="28"/>
  <c r="F60" i="31"/>
  <c r="L60" i="31"/>
  <c r="L60" i="30"/>
  <c r="AQ60" i="28"/>
  <c r="F60" i="32"/>
  <c r="L60" i="32"/>
  <c r="CS77" i="28"/>
  <c r="CV77" i="28"/>
  <c r="CX77" i="28"/>
  <c r="EV77" i="28"/>
  <c r="DE53" i="28"/>
  <c r="DG64" i="28"/>
  <c r="EC44" i="28"/>
  <c r="EC38" i="28"/>
  <c r="DE47" i="28"/>
  <c r="L27" i="30"/>
  <c r="AR27" i="28"/>
  <c r="CR27" i="28"/>
  <c r="CS27" i="28"/>
  <c r="CV27" i="28"/>
  <c r="CX27" i="28"/>
  <c r="EV27" i="28"/>
  <c r="EW27" i="28"/>
  <c r="K27" i="31"/>
  <c r="AQ27" i="28"/>
  <c r="F27" i="32"/>
  <c r="L27" i="32"/>
  <c r="AQ20" i="28"/>
  <c r="F20" i="32"/>
  <c r="L20" i="32"/>
  <c r="L20" i="30"/>
  <c r="AR20" i="28"/>
  <c r="CR20" i="28"/>
  <c r="CS20" i="28"/>
  <c r="CV20" i="28"/>
  <c r="CX20" i="28"/>
  <c r="EV20" i="28"/>
  <c r="F20" i="31"/>
  <c r="L20" i="31"/>
  <c r="CS81" i="28"/>
  <c r="CV81" i="28"/>
  <c r="CX81" i="28"/>
  <c r="EC31" i="28"/>
  <c r="L23" i="30"/>
  <c r="AQ23" i="28"/>
  <c r="F23" i="32"/>
  <c r="L23" i="32"/>
  <c r="AR23" i="28"/>
  <c r="CR23" i="28"/>
  <c r="CS23" i="28"/>
  <c r="CV23" i="28"/>
  <c r="CX23" i="28"/>
  <c r="EV23" i="28"/>
  <c r="EW23" i="28"/>
  <c r="K23" i="31"/>
  <c r="EC4" i="28"/>
  <c r="EF4" i="28"/>
  <c r="EH4" i="28"/>
  <c r="E4" i="31"/>
  <c r="J4" i="31"/>
  <c r="AQ19" i="28"/>
  <c r="F19" i="32"/>
  <c r="L19" i="32"/>
  <c r="L19" i="30"/>
  <c r="AR19" i="28"/>
  <c r="CR19" i="28"/>
  <c r="CS19" i="28"/>
  <c r="CV19" i="28"/>
  <c r="CX19" i="28"/>
  <c r="EV19" i="28"/>
  <c r="F19" i="31"/>
  <c r="L19" i="31"/>
  <c r="EC29" i="28"/>
  <c r="DQ24" i="28"/>
  <c r="EC35" i="28"/>
  <c r="EE46" i="28"/>
  <c r="DE23" i="28"/>
  <c r="DH23" i="28"/>
  <c r="DJ23" i="28"/>
  <c r="C23" i="31"/>
  <c r="H23" i="31"/>
  <c r="DE22" i="28"/>
  <c r="DH22" i="28"/>
  <c r="DJ22" i="28"/>
  <c r="C22" i="31"/>
  <c r="H22" i="31"/>
  <c r="AR56" i="28"/>
  <c r="CR56" i="28"/>
  <c r="AQ56" i="28"/>
  <c r="F56" i="32"/>
  <c r="L56" i="32"/>
  <c r="L56" i="30"/>
  <c r="L50" i="30"/>
  <c r="AR50" i="28"/>
  <c r="CR50" i="28"/>
  <c r="AQ50" i="28"/>
  <c r="F50" i="32"/>
  <c r="L50" i="32"/>
  <c r="K6" i="30"/>
  <c r="DE31" i="28"/>
  <c r="DS26" i="28"/>
  <c r="M54" i="30"/>
  <c r="K54" i="30"/>
  <c r="AR73" i="28"/>
  <c r="CR73" i="28"/>
  <c r="AQ73" i="28"/>
  <c r="F73" i="32"/>
  <c r="L73" i="32"/>
  <c r="L73" i="30"/>
  <c r="EC19" i="28"/>
  <c r="AR14" i="28"/>
  <c r="CR14" i="28"/>
  <c r="CS14" i="28"/>
  <c r="CV14" i="28"/>
  <c r="AQ14" i="28"/>
  <c r="L14" i="30"/>
  <c r="CS48" i="28"/>
  <c r="CV48" i="28"/>
  <c r="CX48" i="28"/>
  <c r="EX84" i="28"/>
  <c r="Q84" i="31"/>
  <c r="DE7" i="28"/>
  <c r="DH7" i="28"/>
  <c r="DJ7" i="28"/>
  <c r="C7" i="31"/>
  <c r="H7" i="31"/>
  <c r="DE29" i="28"/>
  <c r="EC21" i="28"/>
  <c r="EW84" i="28"/>
  <c r="K84" i="31"/>
  <c r="DE16" i="28"/>
  <c r="DH16" i="28"/>
  <c r="DJ16" i="28"/>
  <c r="C16" i="31"/>
  <c r="H16" i="31"/>
  <c r="EC20" i="28"/>
  <c r="AB7" i="11"/>
  <c r="AB9" i="11"/>
  <c r="Y181" i="11"/>
  <c r="AA181" i="11"/>
  <c r="AC181" i="11"/>
  <c r="Y168" i="11"/>
  <c r="AA168" i="11"/>
  <c r="AC168" i="11"/>
  <c r="Y136" i="11"/>
  <c r="AA136" i="11"/>
  <c r="AC136" i="11"/>
  <c r="Y164" i="11"/>
  <c r="AA164" i="11"/>
  <c r="AC164" i="11"/>
  <c r="Y213" i="11"/>
  <c r="AA213" i="11"/>
  <c r="AC213" i="11"/>
  <c r="Y186" i="11"/>
  <c r="AA186" i="11"/>
  <c r="AC186" i="11"/>
  <c r="Y207" i="11"/>
  <c r="AA207" i="11"/>
  <c r="AC207" i="11"/>
  <c r="Y146" i="11"/>
  <c r="AA146" i="11"/>
  <c r="AC146" i="11"/>
  <c r="Y217" i="11"/>
  <c r="AA217" i="11"/>
  <c r="AC217" i="11"/>
  <c r="Y138" i="11"/>
  <c r="AA138" i="11"/>
  <c r="AC138" i="11"/>
  <c r="Y135" i="11"/>
  <c r="AA135" i="11"/>
  <c r="AC135" i="11"/>
  <c r="Y182" i="11"/>
  <c r="AA182" i="11"/>
  <c r="AC182" i="11"/>
  <c r="Y165" i="11"/>
  <c r="AA165" i="11"/>
  <c r="AC165" i="11"/>
  <c r="Y210" i="11"/>
  <c r="AA210" i="11"/>
  <c r="AC210" i="11"/>
  <c r="Y140" i="11"/>
  <c r="AA140" i="11"/>
  <c r="AC140" i="11"/>
  <c r="Y145" i="11"/>
  <c r="AA145" i="11"/>
  <c r="AC145" i="11"/>
  <c r="Y183" i="11"/>
  <c r="AA183" i="11"/>
  <c r="AC183" i="11"/>
  <c r="Y214" i="11"/>
  <c r="AA214" i="11"/>
  <c r="AC214" i="11"/>
  <c r="Y147" i="11"/>
  <c r="AA147" i="11"/>
  <c r="AC147" i="11"/>
  <c r="Y124" i="11"/>
  <c r="AA124" i="11"/>
  <c r="AC124" i="11"/>
  <c r="Y185" i="11"/>
  <c r="AA185" i="11"/>
  <c r="AC185" i="11"/>
  <c r="Y162" i="11"/>
  <c r="AA162" i="11"/>
  <c r="AC162" i="11"/>
  <c r="Y156" i="11"/>
  <c r="AA156" i="11"/>
  <c r="AC156" i="11"/>
  <c r="Y196" i="11"/>
  <c r="AA196" i="11"/>
  <c r="AC196" i="11"/>
  <c r="Y130" i="11"/>
  <c r="AA130" i="11"/>
  <c r="AC130" i="11"/>
  <c r="Y216" i="11"/>
  <c r="AA216" i="11"/>
  <c r="AC216" i="11"/>
  <c r="Y126" i="11"/>
  <c r="AA126" i="11"/>
  <c r="AC126" i="11"/>
  <c r="Y187" i="11"/>
  <c r="AA187" i="11"/>
  <c r="AC187" i="11"/>
  <c r="Y133" i="11"/>
  <c r="AA133" i="11"/>
  <c r="AC133" i="11"/>
  <c r="Y155" i="11"/>
  <c r="AA155" i="11"/>
  <c r="AC155" i="11"/>
  <c r="Y174" i="11"/>
  <c r="AA174" i="11"/>
  <c r="AC174" i="11"/>
  <c r="Y199" i="11"/>
  <c r="AA199" i="11"/>
  <c r="AC199" i="11"/>
  <c r="Y143" i="11"/>
  <c r="AA143" i="11"/>
  <c r="AC143" i="11"/>
  <c r="Y149" i="11"/>
  <c r="AA149" i="11"/>
  <c r="AC149" i="11"/>
  <c r="Y219" i="11"/>
  <c r="AA219" i="11"/>
  <c r="AC219" i="11"/>
  <c r="Y150" i="11"/>
  <c r="AA150" i="11"/>
  <c r="AC150" i="11"/>
  <c r="Y197" i="11"/>
  <c r="AA197" i="11"/>
  <c r="AC197" i="11"/>
  <c r="Y144" i="11"/>
  <c r="AA144" i="11"/>
  <c r="AC144" i="11"/>
  <c r="Y125" i="11"/>
  <c r="AA125" i="11"/>
  <c r="AC125" i="11"/>
  <c r="Y178" i="11"/>
  <c r="AA178" i="11"/>
  <c r="AC178" i="11"/>
  <c r="Y209" i="11"/>
  <c r="AA209" i="11"/>
  <c r="AC209" i="11"/>
  <c r="Y159" i="11"/>
  <c r="AA159" i="11"/>
  <c r="AC159" i="11"/>
  <c r="Y204" i="11"/>
  <c r="AA204" i="11"/>
  <c r="AC204" i="11"/>
  <c r="Y131" i="11"/>
  <c r="AA131" i="11"/>
  <c r="AC131" i="11"/>
  <c r="Y203" i="11"/>
  <c r="AA203" i="11"/>
  <c r="AC203" i="11"/>
  <c r="Y192" i="11"/>
  <c r="AA192" i="11"/>
  <c r="AC192" i="11"/>
  <c r="Y211" i="11"/>
  <c r="AA211" i="11"/>
  <c r="AC211" i="11"/>
  <c r="Y127" i="11"/>
  <c r="AA127" i="11"/>
  <c r="AC127" i="11"/>
  <c r="Y173" i="11"/>
  <c r="AA173" i="11"/>
  <c r="AC173" i="11"/>
  <c r="Y176" i="11"/>
  <c r="AA176" i="11"/>
  <c r="AC176" i="11"/>
  <c r="Y139" i="11"/>
  <c r="AA139" i="11"/>
  <c r="AC139" i="11"/>
  <c r="Y167" i="11"/>
  <c r="AA167" i="11"/>
  <c r="AC167" i="11"/>
  <c r="Y152" i="11"/>
  <c r="AA152" i="11"/>
  <c r="AC152" i="11"/>
  <c r="Y141" i="11"/>
  <c r="AA141" i="11"/>
  <c r="AC141" i="11"/>
  <c r="Y198" i="11"/>
  <c r="AA198" i="11"/>
  <c r="AC198" i="11"/>
  <c r="D33" i="12"/>
  <c r="AQ8" i="28"/>
  <c r="F8" i="32"/>
  <c r="L8" i="32"/>
  <c r="EU25" i="28"/>
  <c r="F45" i="30"/>
  <c r="J45" i="30"/>
  <c r="CB45" i="28"/>
  <c r="EB45" i="28"/>
  <c r="D63" i="30"/>
  <c r="H63" i="30"/>
  <c r="BD63" i="28"/>
  <c r="DD63" i="28"/>
  <c r="E25" i="30"/>
  <c r="I25" i="30"/>
  <c r="BP25" i="28"/>
  <c r="DP25" i="28"/>
  <c r="E26" i="29"/>
  <c r="I26" i="29"/>
  <c r="D64" i="29"/>
  <c r="H64" i="29"/>
  <c r="F46" i="29"/>
  <c r="J46" i="29"/>
  <c r="ER26" i="28"/>
  <c r="ET26" i="28"/>
  <c r="AW64" i="28"/>
  <c r="AY64" i="28"/>
  <c r="BA64" i="28"/>
  <c r="BB64" i="28"/>
  <c r="BC63" i="28"/>
  <c r="C63" i="32"/>
  <c r="H63" i="32"/>
  <c r="DN16" i="28"/>
  <c r="DW16" i="28"/>
  <c r="EO26" i="28"/>
  <c r="ES26" i="28"/>
  <c r="AT66" i="28"/>
  <c r="AV66" i="28"/>
  <c r="AX65" i="28"/>
  <c r="AZ65" i="28"/>
  <c r="BE65" i="28"/>
  <c r="DF65" i="28"/>
  <c r="AU65" i="28"/>
  <c r="BU46" i="28"/>
  <c r="BW46" i="28"/>
  <c r="BY46" i="28"/>
  <c r="BZ46" i="28"/>
  <c r="BI26" i="28"/>
  <c r="BK26" i="28"/>
  <c r="BM26" i="28"/>
  <c r="BN26" i="28"/>
  <c r="BR48" i="28"/>
  <c r="BT48" i="28"/>
  <c r="BV47" i="28"/>
  <c r="BX47" i="28"/>
  <c r="CC47" i="28"/>
  <c r="ED47" i="28"/>
  <c r="BS47" i="28"/>
  <c r="EQ27" i="28"/>
  <c r="EP27" i="28"/>
  <c r="EL28" i="28"/>
  <c r="EM27" i="28"/>
  <c r="EN27" i="28"/>
  <c r="BO25" i="28"/>
  <c r="D25" i="32"/>
  <c r="I25" i="32"/>
  <c r="CA45" i="28"/>
  <c r="E45" i="32"/>
  <c r="J45" i="32"/>
  <c r="BF28" i="28"/>
  <c r="BH28" i="28"/>
  <c r="BG27" i="28"/>
  <c r="BJ27" i="28"/>
  <c r="BL27" i="28"/>
  <c r="BQ27" i="28"/>
  <c r="DR27" i="28"/>
  <c r="DB29" i="28"/>
  <c r="DK29" i="28"/>
  <c r="D29" i="12"/>
  <c r="M81" i="30"/>
  <c r="K81" i="32"/>
  <c r="AR51" i="28"/>
  <c r="CR51" i="28"/>
  <c r="CS51" i="28"/>
  <c r="CV51" i="28"/>
  <c r="CX51" i="28"/>
  <c r="F41" i="31"/>
  <c r="L41" i="31"/>
  <c r="EV46" i="28"/>
  <c r="EW46" i="28"/>
  <c r="K46" i="31"/>
  <c r="L34" i="30"/>
  <c r="K34" i="30"/>
  <c r="L72" i="30"/>
  <c r="M72" i="30"/>
  <c r="F75" i="32"/>
  <c r="L75" i="32"/>
  <c r="EV26" i="28"/>
  <c r="F26" i="31"/>
  <c r="L26" i="31"/>
  <c r="CX13" i="28"/>
  <c r="EV13" i="28"/>
  <c r="EX13" i="28"/>
  <c r="Q13" i="31"/>
  <c r="EV48" i="28"/>
  <c r="M46" i="30"/>
  <c r="F17" i="32"/>
  <c r="L17" i="32"/>
  <c r="L86" i="30"/>
  <c r="M86" i="30"/>
  <c r="F11" i="32"/>
  <c r="L11" i="32"/>
  <c r="F78" i="32"/>
  <c r="L78" i="32"/>
  <c r="F49" i="32"/>
  <c r="L49" i="32"/>
  <c r="F45" i="32"/>
  <c r="L45" i="32"/>
  <c r="AQ21" i="28"/>
  <c r="F21" i="32"/>
  <c r="L21" i="32"/>
  <c r="K26" i="30"/>
  <c r="EV52" i="28"/>
  <c r="EW52" i="28"/>
  <c r="K52" i="31"/>
  <c r="CX39" i="28"/>
  <c r="EV39" i="28"/>
  <c r="EX39" i="28"/>
  <c r="Q39" i="31"/>
  <c r="K77" i="30"/>
  <c r="AR33" i="28"/>
  <c r="CR33" i="28"/>
  <c r="CS33" i="28"/>
  <c r="CV33" i="28"/>
  <c r="CX33" i="28"/>
  <c r="EV33" i="28"/>
  <c r="EX33" i="28"/>
  <c r="Q33" i="31"/>
  <c r="AR30" i="28"/>
  <c r="CR30" i="28"/>
  <c r="CS30" i="28"/>
  <c r="CV30" i="28"/>
  <c r="CX30" i="28"/>
  <c r="EV30" i="28"/>
  <c r="EX30" i="28"/>
  <c r="Q30" i="31"/>
  <c r="EV51" i="28"/>
  <c r="EW51" i="28"/>
  <c r="K51" i="31"/>
  <c r="K28" i="30"/>
  <c r="F15" i="32"/>
  <c r="L15" i="32"/>
  <c r="F86" i="32"/>
  <c r="L86" i="32"/>
  <c r="CX62" i="28"/>
  <c r="EV62" i="28"/>
  <c r="F62" i="31"/>
  <c r="L62" i="31"/>
  <c r="K46" i="32"/>
  <c r="EV47" i="28"/>
  <c r="EW47" i="28"/>
  <c r="K47" i="31"/>
  <c r="AQ57" i="28"/>
  <c r="F57" i="32"/>
  <c r="L57" i="32"/>
  <c r="L55" i="30"/>
  <c r="K55" i="30"/>
  <c r="EW41" i="28"/>
  <c r="K41" i="31"/>
  <c r="L63" i="30"/>
  <c r="K63" i="30"/>
  <c r="L61" i="30"/>
  <c r="K61" i="30"/>
  <c r="L21" i="30"/>
  <c r="M21" i="30"/>
  <c r="AR55" i="28"/>
  <c r="CR55" i="28"/>
  <c r="CS55" i="28"/>
  <c r="CV55" i="28"/>
  <c r="CX55" i="28"/>
  <c r="EV55" i="28"/>
  <c r="F55" i="31"/>
  <c r="L55" i="31"/>
  <c r="AR35" i="28"/>
  <c r="CR35" i="28"/>
  <c r="CS35" i="28"/>
  <c r="CV35" i="28"/>
  <c r="CX35" i="28"/>
  <c r="EV35" i="28"/>
  <c r="EW35" i="28"/>
  <c r="K35" i="31"/>
  <c r="CX7" i="28"/>
  <c r="EV7" i="28"/>
  <c r="EW7" i="28"/>
  <c r="K7" i="31"/>
  <c r="F6" i="32"/>
  <c r="L6" i="32"/>
  <c r="AR57" i="28"/>
  <c r="CR57" i="28"/>
  <c r="CS57" i="28"/>
  <c r="CV57" i="28"/>
  <c r="CX57" i="28"/>
  <c r="EV57" i="28"/>
  <c r="EW24" i="28"/>
  <c r="K24" i="31"/>
  <c r="AQ61" i="28"/>
  <c r="F61" i="32"/>
  <c r="L61" i="32"/>
  <c r="M76" i="30"/>
  <c r="F41" i="32"/>
  <c r="L41" i="32"/>
  <c r="EV81" i="28"/>
  <c r="K13" i="30"/>
  <c r="AQ79" i="28"/>
  <c r="F79" i="32"/>
  <c r="L79" i="32"/>
  <c r="EX24" i="28"/>
  <c r="Q24" i="31"/>
  <c r="L53" i="30"/>
  <c r="K53" i="30"/>
  <c r="F13" i="32"/>
  <c r="L13" i="32"/>
  <c r="L85" i="30"/>
  <c r="K85" i="30"/>
  <c r="L30" i="30"/>
  <c r="M30" i="30"/>
  <c r="L79" i="30"/>
  <c r="M79" i="30"/>
  <c r="AQ53" i="28"/>
  <c r="F53" i="32"/>
  <c r="L53" i="32"/>
  <c r="L84" i="30"/>
  <c r="K84" i="30"/>
  <c r="L16" i="30"/>
  <c r="K16" i="30"/>
  <c r="AR15" i="28"/>
  <c r="CR15" i="28"/>
  <c r="CS15" i="28"/>
  <c r="CV15" i="28"/>
  <c r="CX15" i="28"/>
  <c r="EV15" i="28"/>
  <c r="EW15" i="28"/>
  <c r="K15" i="31"/>
  <c r="EV21" i="28"/>
  <c r="F21" i="31"/>
  <c r="L21" i="31"/>
  <c r="M48" i="30"/>
  <c r="F14" i="32"/>
  <c r="L14" i="32"/>
  <c r="K39" i="32"/>
  <c r="M39" i="30"/>
  <c r="M49" i="30"/>
  <c r="L70" i="30"/>
  <c r="M70" i="30"/>
  <c r="AQ51" i="28"/>
  <c r="F51" i="32"/>
  <c r="L51" i="32"/>
  <c r="AR72" i="28"/>
  <c r="CR72" i="28"/>
  <c r="CS72" i="28"/>
  <c r="CV72" i="28"/>
  <c r="CX72" i="28"/>
  <c r="EV72" i="28"/>
  <c r="F72" i="31"/>
  <c r="L72" i="31"/>
  <c r="AR63" i="28"/>
  <c r="CR63" i="28"/>
  <c r="CS63" i="28"/>
  <c r="CV63" i="28"/>
  <c r="CX63" i="28"/>
  <c r="EW74" i="28"/>
  <c r="K74" i="31"/>
  <c r="AR31" i="28"/>
  <c r="CR31" i="28"/>
  <c r="CS31" i="28"/>
  <c r="CV31" i="28"/>
  <c r="CX31" i="28"/>
  <c r="EV31" i="28"/>
  <c r="F31" i="31"/>
  <c r="L31" i="31"/>
  <c r="M24" i="30"/>
  <c r="AQ35" i="28"/>
  <c r="F35" i="32"/>
  <c r="L35" i="32"/>
  <c r="K69" i="30"/>
  <c r="AQ33" i="28"/>
  <c r="F33" i="32"/>
  <c r="L33" i="32"/>
  <c r="L29" i="30"/>
  <c r="K29" i="30"/>
  <c r="L8" i="30"/>
  <c r="M8" i="30"/>
  <c r="CX14" i="28"/>
  <c r="EV14" i="28"/>
  <c r="EW14" i="28"/>
  <c r="K14" i="31"/>
  <c r="AQ34" i="28"/>
  <c r="F34" i="32"/>
  <c r="L34" i="32"/>
  <c r="AR80" i="28"/>
  <c r="CR80" i="28"/>
  <c r="CS80" i="28"/>
  <c r="CV80" i="28"/>
  <c r="CX80" i="28"/>
  <c r="EV80" i="28"/>
  <c r="AQ80" i="28"/>
  <c r="F80" i="32"/>
  <c r="L80" i="32"/>
  <c r="EW49" i="28"/>
  <c r="K49" i="31"/>
  <c r="K24" i="32"/>
  <c r="AR40" i="28"/>
  <c r="CR40" i="28"/>
  <c r="CS40" i="28"/>
  <c r="CV40" i="28"/>
  <c r="CX40" i="28"/>
  <c r="EV40" i="28"/>
  <c r="EX40" i="28"/>
  <c r="Q40" i="31"/>
  <c r="L31" i="30"/>
  <c r="M31" i="30"/>
  <c r="L15" i="30"/>
  <c r="K15" i="30"/>
  <c r="AR29" i="28"/>
  <c r="CR29" i="28"/>
  <c r="CS29" i="28"/>
  <c r="CV29" i="28"/>
  <c r="CX29" i="28"/>
  <c r="EV29" i="28"/>
  <c r="EX29" i="28"/>
  <c r="Q29" i="31"/>
  <c r="K41" i="30"/>
  <c r="AR38" i="28"/>
  <c r="CR38" i="28"/>
  <c r="CS38" i="28"/>
  <c r="CV38" i="28"/>
  <c r="CX38" i="28"/>
  <c r="EV38" i="28"/>
  <c r="EX38" i="28"/>
  <c r="Q38" i="31"/>
  <c r="L38" i="30"/>
  <c r="M38" i="30"/>
  <c r="F16" i="32"/>
  <c r="L16" i="32"/>
  <c r="EV70" i="28"/>
  <c r="EX70" i="28"/>
  <c r="Q70" i="31"/>
  <c r="EV65" i="28"/>
  <c r="AQ58" i="28"/>
  <c r="F58" i="32"/>
  <c r="L58" i="32"/>
  <c r="L9" i="30"/>
  <c r="M9" i="30"/>
  <c r="AR84" i="28"/>
  <c r="CR84" i="28"/>
  <c r="CS84" i="28"/>
  <c r="CV84" i="28"/>
  <c r="CX84" i="28"/>
  <c r="F49" i="31"/>
  <c r="L49" i="31"/>
  <c r="AQ83" i="28"/>
  <c r="F83" i="32"/>
  <c r="L83" i="32"/>
  <c r="L83" i="30"/>
  <c r="K83" i="30"/>
  <c r="F18" i="32"/>
  <c r="K18" i="32"/>
  <c r="EV8" i="28"/>
  <c r="F8" i="31"/>
  <c r="L8" i="31"/>
  <c r="EV28" i="28"/>
  <c r="F28" i="31"/>
  <c r="L28" i="31"/>
  <c r="K48" i="32"/>
  <c r="K67" i="32"/>
  <c r="F64" i="32"/>
  <c r="L64" i="32"/>
  <c r="L58" i="30"/>
  <c r="K58" i="30"/>
  <c r="AQ70" i="28"/>
  <c r="F70" i="32"/>
  <c r="L70" i="32"/>
  <c r="AR9" i="28"/>
  <c r="CR9" i="28"/>
  <c r="CS9" i="28"/>
  <c r="CV9" i="28"/>
  <c r="CX9" i="28"/>
  <c r="EV9" i="28"/>
  <c r="EW9" i="28"/>
  <c r="K9" i="31"/>
  <c r="AQ66" i="28"/>
  <c r="F66" i="32"/>
  <c r="L66" i="32"/>
  <c r="AQ40" i="28"/>
  <c r="F40" i="32"/>
  <c r="K40" i="32"/>
  <c r="L75" i="30"/>
  <c r="M75" i="30"/>
  <c r="AR16" i="28"/>
  <c r="CR16" i="28"/>
  <c r="CS16" i="28"/>
  <c r="CV16" i="28"/>
  <c r="CX16" i="28"/>
  <c r="EV16" i="28"/>
  <c r="F16" i="31"/>
  <c r="L16" i="31"/>
  <c r="AR86" i="28"/>
  <c r="CR86" i="28"/>
  <c r="CS86" i="28"/>
  <c r="CV86" i="28"/>
  <c r="CX86" i="28"/>
  <c r="EV86" i="28"/>
  <c r="EW86" i="28"/>
  <c r="K86" i="31"/>
  <c r="AQ42" i="28"/>
  <c r="F42" i="32"/>
  <c r="L42" i="32"/>
  <c r="AR75" i="28"/>
  <c r="CR75" i="28"/>
  <c r="CS75" i="28"/>
  <c r="CV75" i="28"/>
  <c r="CX75" i="28"/>
  <c r="EV75" i="28"/>
  <c r="EW75" i="28"/>
  <c r="K75" i="31"/>
  <c r="L11" i="30"/>
  <c r="M11" i="30"/>
  <c r="AR82" i="28"/>
  <c r="CR82" i="28"/>
  <c r="CS82" i="28"/>
  <c r="CV82" i="28"/>
  <c r="CX82" i="28"/>
  <c r="EV82" i="28"/>
  <c r="EW82" i="28"/>
  <c r="K82" i="31"/>
  <c r="L22" i="30"/>
  <c r="M22" i="30"/>
  <c r="L12" i="30"/>
  <c r="M12" i="30"/>
  <c r="AQ85" i="28"/>
  <c r="F85" i="32"/>
  <c r="L85" i="32"/>
  <c r="AR12" i="28"/>
  <c r="CR12" i="28"/>
  <c r="CS12" i="28"/>
  <c r="CV12" i="28"/>
  <c r="CX12" i="28"/>
  <c r="EV12" i="28"/>
  <c r="F12" i="31"/>
  <c r="L12" i="31"/>
  <c r="AR11" i="28"/>
  <c r="CR11" i="28"/>
  <c r="CS11" i="28"/>
  <c r="CV11" i="28"/>
  <c r="CX11" i="28"/>
  <c r="EV11" i="28"/>
  <c r="EX11" i="28"/>
  <c r="Q11" i="31"/>
  <c r="K76" i="32"/>
  <c r="EW59" i="28"/>
  <c r="K59" i="31"/>
  <c r="EX59" i="28"/>
  <c r="Q59" i="31"/>
  <c r="AQ82" i="28"/>
  <c r="F82" i="32"/>
  <c r="L82" i="32"/>
  <c r="AR42" i="28"/>
  <c r="CR42" i="28"/>
  <c r="CS42" i="28"/>
  <c r="CV42" i="28"/>
  <c r="CX42" i="28"/>
  <c r="EV42" i="28"/>
  <c r="EW42" i="28"/>
  <c r="K42" i="31"/>
  <c r="AQ22" i="28"/>
  <c r="F22" i="32"/>
  <c r="K22" i="32"/>
  <c r="L66" i="30"/>
  <c r="K66" i="30"/>
  <c r="K26" i="32"/>
  <c r="EX85" i="28"/>
  <c r="Q85" i="31"/>
  <c r="F85" i="31"/>
  <c r="L85" i="31"/>
  <c r="EW85" i="28"/>
  <c r="K85" i="31"/>
  <c r="K35" i="30"/>
  <c r="M35" i="30"/>
  <c r="L10" i="32"/>
  <c r="K10" i="32"/>
  <c r="K57" i="30"/>
  <c r="M57" i="30"/>
  <c r="F52" i="31"/>
  <c r="L52" i="31"/>
  <c r="EW83" i="28"/>
  <c r="K83" i="31"/>
  <c r="EX83" i="28"/>
  <c r="Q83" i="31"/>
  <c r="F83" i="31"/>
  <c r="L83" i="31"/>
  <c r="L9" i="32"/>
  <c r="K9" i="32"/>
  <c r="L72" i="32"/>
  <c r="K72" i="32"/>
  <c r="K40" i="30"/>
  <c r="M40" i="30"/>
  <c r="L31" i="32"/>
  <c r="K31" i="32"/>
  <c r="M51" i="30"/>
  <c r="K51" i="30"/>
  <c r="EX22" i="28"/>
  <c r="Q22" i="31"/>
  <c r="EW22" i="28"/>
  <c r="K22" i="31"/>
  <c r="F22" i="31"/>
  <c r="L22" i="31"/>
  <c r="K42" i="30"/>
  <c r="M42" i="30"/>
  <c r="K33" i="30"/>
  <c r="M33" i="30"/>
  <c r="K80" i="30"/>
  <c r="M80" i="30"/>
  <c r="L10" i="30"/>
  <c r="AR10" i="28"/>
  <c r="CR10" i="28"/>
  <c r="CS10" i="28"/>
  <c r="CV10" i="28"/>
  <c r="CX10" i="28"/>
  <c r="EV10" i="28"/>
  <c r="F10" i="31"/>
  <c r="L10" i="31"/>
  <c r="AQ52" i="28"/>
  <c r="F52" i="32"/>
  <c r="L52" i="30"/>
  <c r="AR44" i="28"/>
  <c r="CR44" i="28"/>
  <c r="CS44" i="28"/>
  <c r="CV44" i="28"/>
  <c r="CX44" i="28"/>
  <c r="L44" i="30"/>
  <c r="AQ44" i="28"/>
  <c r="F44" i="32"/>
  <c r="L5" i="30"/>
  <c r="AR5" i="28"/>
  <c r="CR5" i="28"/>
  <c r="CS5" i="28"/>
  <c r="CV5" i="28"/>
  <c r="CX5" i="28"/>
  <c r="EV5" i="28"/>
  <c r="EX5" i="28"/>
  <c r="Q5" i="31"/>
  <c r="AR25" i="28"/>
  <c r="CR25" i="28"/>
  <c r="CS25" i="28"/>
  <c r="CV25" i="28"/>
  <c r="CX25" i="28"/>
  <c r="EV25" i="28"/>
  <c r="EW25" i="28"/>
  <c r="K25" i="31"/>
  <c r="L25" i="30"/>
  <c r="L18" i="30"/>
  <c r="AR18" i="28"/>
  <c r="CR18" i="28"/>
  <c r="CS18" i="28"/>
  <c r="CV18" i="28"/>
  <c r="CX18" i="28"/>
  <c r="EV18" i="28"/>
  <c r="AQ5" i="28"/>
  <c r="F5" i="32"/>
  <c r="L59" i="30"/>
  <c r="AQ59" i="28"/>
  <c r="F59" i="32"/>
  <c r="K59" i="32"/>
  <c r="AQ25" i="28"/>
  <c r="F25" i="32"/>
  <c r="EX69" i="28"/>
  <c r="Q69" i="31"/>
  <c r="F69" i="31"/>
  <c r="L69" i="31"/>
  <c r="Q13" i="11"/>
  <c r="AB5" i="11"/>
  <c r="AB8" i="11"/>
  <c r="AB10" i="11"/>
  <c r="Q12" i="11"/>
  <c r="D40" i="12"/>
  <c r="D41" i="12"/>
  <c r="R27" i="31"/>
  <c r="EV4" i="28"/>
  <c r="EX4" i="28"/>
  <c r="DZ16" i="28"/>
  <c r="EI16" i="28"/>
  <c r="EI15" i="28"/>
  <c r="F13" i="31"/>
  <c r="L13" i="31"/>
  <c r="EX6" i="28"/>
  <c r="Q6" i="31"/>
  <c r="K65" i="32"/>
  <c r="F6" i="31"/>
  <c r="L6" i="31"/>
  <c r="K77" i="32"/>
  <c r="F67" i="31"/>
  <c r="L67" i="31"/>
  <c r="EW67" i="28"/>
  <c r="K67" i="31"/>
  <c r="K84" i="32"/>
  <c r="F33" i="31"/>
  <c r="L33" i="31"/>
  <c r="K15" i="32"/>
  <c r="K74" i="32"/>
  <c r="EW44" i="28"/>
  <c r="K44" i="31"/>
  <c r="EX44" i="28"/>
  <c r="Q44" i="31"/>
  <c r="K29" i="32"/>
  <c r="K11" i="32"/>
  <c r="EW33" i="28"/>
  <c r="K33" i="31"/>
  <c r="M84" i="30"/>
  <c r="K78" i="32"/>
  <c r="EW11" i="28"/>
  <c r="K11" i="31"/>
  <c r="K69" i="32"/>
  <c r="EX46" i="28"/>
  <c r="Q46" i="31"/>
  <c r="K32" i="32"/>
  <c r="K21" i="32"/>
  <c r="K75" i="32"/>
  <c r="EH14" i="28"/>
  <c r="E14" i="31"/>
  <c r="J14" i="31"/>
  <c r="K79" i="30"/>
  <c r="F46" i="31"/>
  <c r="L46" i="31"/>
  <c r="K34" i="32"/>
  <c r="K55" i="32"/>
  <c r="L55" i="32"/>
  <c r="K30" i="32"/>
  <c r="L30" i="32"/>
  <c r="K63" i="32"/>
  <c r="L63" i="32"/>
  <c r="EX68" i="28"/>
  <c r="Q68" i="31"/>
  <c r="K72" i="30"/>
  <c r="K54" i="32"/>
  <c r="K21" i="30"/>
  <c r="EW68" i="28"/>
  <c r="K68" i="31"/>
  <c r="K82" i="30"/>
  <c r="EX77" i="28"/>
  <c r="Q77" i="31"/>
  <c r="EW77" i="28"/>
  <c r="K77" i="31"/>
  <c r="F77" i="31"/>
  <c r="L77" i="31"/>
  <c r="F61" i="31"/>
  <c r="L61" i="31"/>
  <c r="EW61" i="28"/>
  <c r="K61" i="31"/>
  <c r="EX61" i="28"/>
  <c r="Q61" i="31"/>
  <c r="EX57" i="28"/>
  <c r="Q57" i="31"/>
  <c r="EW57" i="28"/>
  <c r="K57" i="31"/>
  <c r="F57" i="31"/>
  <c r="L57" i="31"/>
  <c r="EX51" i="28"/>
  <c r="Q51" i="31"/>
  <c r="F48" i="31"/>
  <c r="L48" i="31"/>
  <c r="EX48" i="28"/>
  <c r="Q48" i="31"/>
  <c r="EW48" i="28"/>
  <c r="K48" i="31"/>
  <c r="F47" i="31"/>
  <c r="L47" i="31"/>
  <c r="EW36" i="28"/>
  <c r="K36" i="31"/>
  <c r="EX36" i="28"/>
  <c r="Q36" i="31"/>
  <c r="EX34" i="28"/>
  <c r="Q34" i="31"/>
  <c r="F34" i="31"/>
  <c r="L34" i="31"/>
  <c r="EW34" i="28"/>
  <c r="K34" i="31"/>
  <c r="EX17" i="28"/>
  <c r="Q17" i="31"/>
  <c r="F17" i="31"/>
  <c r="L17" i="31"/>
  <c r="EW17" i="28"/>
  <c r="K17" i="31"/>
  <c r="F14" i="31"/>
  <c r="L14" i="31"/>
  <c r="K79" i="32"/>
  <c r="K36" i="32"/>
  <c r="K38" i="32"/>
  <c r="EW63" i="28"/>
  <c r="K63" i="31"/>
  <c r="M58" i="30"/>
  <c r="EX63" i="28"/>
  <c r="Q63" i="31"/>
  <c r="M55" i="30"/>
  <c r="EW54" i="28"/>
  <c r="K54" i="31"/>
  <c r="F54" i="31"/>
  <c r="L54" i="31"/>
  <c r="DV14" i="28"/>
  <c r="D14" i="31"/>
  <c r="I14" i="31"/>
  <c r="EA16" i="28"/>
  <c r="EG16" i="28"/>
  <c r="DO15" i="28"/>
  <c r="O15" i="31"/>
  <c r="DU15" i="28"/>
  <c r="DT15" i="28"/>
  <c r="EW55" i="28"/>
  <c r="K55" i="31"/>
  <c r="DO16" i="28"/>
  <c r="O16" i="31"/>
  <c r="DU16" i="28"/>
  <c r="DJ28" i="28"/>
  <c r="C28" i="31"/>
  <c r="H28" i="31"/>
  <c r="EW32" i="28"/>
  <c r="K32" i="31"/>
  <c r="DC29" i="28"/>
  <c r="N29" i="31"/>
  <c r="DI29" i="28"/>
  <c r="EX32" i="28"/>
  <c r="Q32" i="31"/>
  <c r="EA15" i="28"/>
  <c r="EG15" i="28"/>
  <c r="EX62" i="28"/>
  <c r="Q62" i="31"/>
  <c r="K8" i="32"/>
  <c r="EF15" i="28"/>
  <c r="EF16" i="28"/>
  <c r="DT16" i="28"/>
  <c r="DH29" i="28"/>
  <c r="EX55" i="28"/>
  <c r="Q55" i="31"/>
  <c r="EX60" i="28"/>
  <c r="Q60" i="31"/>
  <c r="EX19" i="28"/>
  <c r="Q19" i="31"/>
  <c r="EX20" i="28"/>
  <c r="Q20" i="31"/>
  <c r="EE47" i="28"/>
  <c r="DQ25" i="28"/>
  <c r="K50" i="32"/>
  <c r="CS56" i="28"/>
  <c r="CV56" i="28"/>
  <c r="CX56" i="28"/>
  <c r="EV56" i="28"/>
  <c r="K19" i="30"/>
  <c r="M19" i="30"/>
  <c r="K23" i="30"/>
  <c r="M23" i="30"/>
  <c r="K71" i="30"/>
  <c r="M71" i="30"/>
  <c r="K62" i="30"/>
  <c r="M62" i="30"/>
  <c r="M68" i="30"/>
  <c r="K68" i="30"/>
  <c r="CS50" i="28"/>
  <c r="CV50" i="28"/>
  <c r="CX50" i="28"/>
  <c r="EV50" i="28"/>
  <c r="EW50" i="28"/>
  <c r="K50" i="31"/>
  <c r="K19" i="32"/>
  <c r="EX23" i="28"/>
  <c r="Q23" i="31"/>
  <c r="F23" i="31"/>
  <c r="L23" i="31"/>
  <c r="EW19" i="28"/>
  <c r="K19" i="31"/>
  <c r="K66" i="32"/>
  <c r="K62" i="32"/>
  <c r="CS64" i="28"/>
  <c r="CV64" i="28"/>
  <c r="CX64" i="28"/>
  <c r="EV64" i="28"/>
  <c r="K50" i="30"/>
  <c r="M50" i="30"/>
  <c r="EX66" i="28"/>
  <c r="Q66" i="31"/>
  <c r="F66" i="31"/>
  <c r="L66" i="31"/>
  <c r="CS37" i="28"/>
  <c r="CV37" i="28"/>
  <c r="CX37" i="28"/>
  <c r="EV37" i="28"/>
  <c r="EW37" i="28"/>
  <c r="K37" i="31"/>
  <c r="K64" i="32"/>
  <c r="EW60" i="28"/>
  <c r="K60" i="31"/>
  <c r="K73" i="30"/>
  <c r="M73" i="30"/>
  <c r="K37" i="30"/>
  <c r="M37" i="30"/>
  <c r="M64" i="30"/>
  <c r="K64" i="30"/>
  <c r="K47" i="32"/>
  <c r="DE63" i="28"/>
  <c r="EX53" i="28"/>
  <c r="Q53" i="31"/>
  <c r="F53" i="31"/>
  <c r="L53" i="31"/>
  <c r="K73" i="32"/>
  <c r="K27" i="32"/>
  <c r="EX58" i="28"/>
  <c r="Q58" i="31"/>
  <c r="F58" i="31"/>
  <c r="L58" i="31"/>
  <c r="K37" i="32"/>
  <c r="K4" i="30"/>
  <c r="M4" i="30"/>
  <c r="K17" i="30"/>
  <c r="M17" i="30"/>
  <c r="DS27" i="28"/>
  <c r="DG65" i="28"/>
  <c r="EX27" i="28"/>
  <c r="Q27" i="31"/>
  <c r="F27" i="31"/>
  <c r="L27" i="31"/>
  <c r="CS73" i="28"/>
  <c r="CV73" i="28"/>
  <c r="CX73" i="28"/>
  <c r="EV73" i="28"/>
  <c r="K12" i="32"/>
  <c r="K43" i="32"/>
  <c r="K4" i="32"/>
  <c r="M47" i="30"/>
  <c r="K47" i="30"/>
  <c r="K45" i="32"/>
  <c r="EC45" i="28"/>
  <c r="K56" i="30"/>
  <c r="M56" i="30"/>
  <c r="EX71" i="28"/>
  <c r="Q71" i="31"/>
  <c r="K20" i="30"/>
  <c r="M20" i="30"/>
  <c r="K27" i="30"/>
  <c r="M27" i="30"/>
  <c r="K60" i="32"/>
  <c r="K43" i="30"/>
  <c r="M43" i="30"/>
  <c r="K7" i="32"/>
  <c r="CS45" i="28"/>
  <c r="CV45" i="28"/>
  <c r="CX45" i="28"/>
  <c r="EV45" i="28"/>
  <c r="K14" i="30"/>
  <c r="M14" i="30"/>
  <c r="K56" i="32"/>
  <c r="EW20" i="28"/>
  <c r="K20" i="31"/>
  <c r="EW71" i="28"/>
  <c r="K71" i="31"/>
  <c r="K23" i="32"/>
  <c r="K20" i="32"/>
  <c r="M60" i="30"/>
  <c r="K60" i="30"/>
  <c r="CS43" i="28"/>
  <c r="CV43" i="28"/>
  <c r="CX43" i="28"/>
  <c r="EV43" i="28"/>
  <c r="EW43" i="28"/>
  <c r="K43" i="31"/>
  <c r="K71" i="32"/>
  <c r="M7" i="30"/>
  <c r="K7" i="30"/>
  <c r="K68" i="32"/>
  <c r="M45" i="30"/>
  <c r="K45" i="30"/>
  <c r="Z113" i="11"/>
  <c r="AB113" i="11"/>
  <c r="Z68" i="11"/>
  <c r="AB68" i="11"/>
  <c r="Z100" i="11"/>
  <c r="AB100" i="11"/>
  <c r="Z75" i="11"/>
  <c r="AB75" i="11"/>
  <c r="Z20" i="11"/>
  <c r="AB20" i="11"/>
  <c r="Z56" i="11"/>
  <c r="AB56" i="11"/>
  <c r="Z121" i="11"/>
  <c r="AB121" i="11"/>
  <c r="Z71" i="11"/>
  <c r="AB71" i="11"/>
  <c r="Z85" i="11"/>
  <c r="AB85" i="11"/>
  <c r="Z102" i="11"/>
  <c r="AB102" i="11"/>
  <c r="Z26" i="11"/>
  <c r="AB26" i="11"/>
  <c r="Z98" i="11"/>
  <c r="AB98" i="11"/>
  <c r="Z118" i="11"/>
  <c r="AB118" i="11"/>
  <c r="Z55" i="11"/>
  <c r="AB55" i="11"/>
  <c r="Z28" i="11"/>
  <c r="AB28" i="11"/>
  <c r="Z87" i="11"/>
  <c r="AB87" i="11"/>
  <c r="Z84" i="11"/>
  <c r="AB84" i="11"/>
  <c r="Z23" i="11"/>
  <c r="AB23" i="11"/>
  <c r="Z59" i="11"/>
  <c r="AB59" i="11"/>
  <c r="Z35" i="11"/>
  <c r="AB35" i="11"/>
  <c r="Z45" i="11"/>
  <c r="AB45" i="11"/>
  <c r="Z47" i="11"/>
  <c r="AB47" i="11"/>
  <c r="Z76" i="11"/>
  <c r="AB76" i="11"/>
  <c r="Z81" i="11"/>
  <c r="AB81" i="11"/>
  <c r="Z38" i="11"/>
  <c r="AB38" i="11"/>
  <c r="Z30" i="11"/>
  <c r="AB30" i="11"/>
  <c r="Z89" i="11"/>
  <c r="AB89" i="11"/>
  <c r="Z34" i="11"/>
  <c r="AB34" i="11"/>
  <c r="Z32" i="11"/>
  <c r="AB32" i="11"/>
  <c r="Z33" i="11"/>
  <c r="AB33" i="11"/>
  <c r="Z97" i="11"/>
  <c r="AB97" i="11"/>
  <c r="Z79" i="11"/>
  <c r="AB79" i="11"/>
  <c r="Z24" i="11"/>
  <c r="AB24" i="11"/>
  <c r="Z106" i="11"/>
  <c r="AB106" i="11"/>
  <c r="Z110" i="11"/>
  <c r="AB110" i="11"/>
  <c r="Z62" i="11"/>
  <c r="AB62" i="11"/>
  <c r="Z90" i="11"/>
  <c r="AB90" i="11"/>
  <c r="Z41" i="11"/>
  <c r="AB41" i="11"/>
  <c r="Z64" i="11"/>
  <c r="AB64" i="11"/>
  <c r="Z29" i="11"/>
  <c r="AB29" i="11"/>
  <c r="Z69" i="11"/>
  <c r="AB69" i="11"/>
  <c r="Z103" i="11"/>
  <c r="AB103" i="11"/>
  <c r="Z25" i="11"/>
  <c r="AB25" i="11"/>
  <c r="Z109" i="11"/>
  <c r="AB109" i="11"/>
  <c r="Z112" i="11"/>
  <c r="AB112" i="11"/>
  <c r="Z93" i="11"/>
  <c r="AB93" i="11"/>
  <c r="Z77" i="11"/>
  <c r="AB77" i="11"/>
  <c r="Z72" i="11"/>
  <c r="AB72" i="11"/>
  <c r="Z60" i="11"/>
  <c r="AB60" i="11"/>
  <c r="Z119" i="11"/>
  <c r="AB119" i="11"/>
  <c r="Z21" i="11"/>
  <c r="AB21" i="11"/>
  <c r="Z58" i="11"/>
  <c r="AB58" i="11"/>
  <c r="Z95" i="11"/>
  <c r="AB95" i="11"/>
  <c r="Z101" i="11"/>
  <c r="AB101" i="11"/>
  <c r="Z86" i="11"/>
  <c r="AB86" i="11"/>
  <c r="Z44" i="11"/>
  <c r="AB44" i="11"/>
  <c r="Z74" i="11"/>
  <c r="AB74" i="11"/>
  <c r="Z94" i="11"/>
  <c r="AB94" i="11"/>
  <c r="Z83" i="11"/>
  <c r="AB83" i="11"/>
  <c r="Z65" i="11"/>
  <c r="AB65" i="11"/>
  <c r="Z50" i="11"/>
  <c r="AB50" i="11"/>
  <c r="Z54" i="11"/>
  <c r="AB54" i="11"/>
  <c r="Z51" i="11"/>
  <c r="AB51" i="11"/>
  <c r="Z46" i="11"/>
  <c r="AB46" i="11"/>
  <c r="Z114" i="11"/>
  <c r="AB114" i="11"/>
  <c r="Z43" i="11"/>
  <c r="AB43" i="11"/>
  <c r="Z27" i="11"/>
  <c r="AB27" i="11"/>
  <c r="Z88" i="11"/>
  <c r="AB88" i="11"/>
  <c r="Z120" i="11"/>
  <c r="AB120" i="11"/>
  <c r="Z36" i="11"/>
  <c r="AB36" i="11"/>
  <c r="Z111" i="11"/>
  <c r="AB111" i="11"/>
  <c r="Z91" i="11"/>
  <c r="AB91" i="11"/>
  <c r="Z92" i="11"/>
  <c r="AB92" i="11"/>
  <c r="Z67" i="11"/>
  <c r="AB67" i="11"/>
  <c r="Z99" i="11"/>
  <c r="AB99" i="11"/>
  <c r="Z117" i="11"/>
  <c r="AB117" i="11"/>
  <c r="Z70" i="11"/>
  <c r="AB70" i="11"/>
  <c r="Z73" i="11"/>
  <c r="AB73" i="11"/>
  <c r="Z49" i="11"/>
  <c r="AB49" i="11"/>
  <c r="Z66" i="11"/>
  <c r="AB66" i="11"/>
  <c r="Z96" i="11"/>
  <c r="AB96" i="11"/>
  <c r="Z105" i="11"/>
  <c r="AB105" i="11"/>
  <c r="Z31" i="11"/>
  <c r="AB31" i="11"/>
  <c r="Z40" i="11"/>
  <c r="AB40" i="11"/>
  <c r="Z107" i="11"/>
  <c r="AB107" i="11"/>
  <c r="Z57" i="11"/>
  <c r="AB57" i="11"/>
  <c r="Z39" i="11"/>
  <c r="AB39" i="11"/>
  <c r="Z37" i="11"/>
  <c r="AB37" i="11"/>
  <c r="Z78" i="11"/>
  <c r="AB78" i="11"/>
  <c r="Z116" i="11"/>
  <c r="AB116" i="11"/>
  <c r="Z80" i="11"/>
  <c r="AB80" i="11"/>
  <c r="Z22" i="11"/>
  <c r="AB22" i="11"/>
  <c r="Z115" i="11"/>
  <c r="AB115" i="11"/>
  <c r="Z63" i="11"/>
  <c r="AB63" i="11"/>
  <c r="Z108" i="11"/>
  <c r="AB108" i="11"/>
  <c r="Z53" i="11"/>
  <c r="AB53" i="11"/>
  <c r="Z61" i="11"/>
  <c r="AB61" i="11"/>
  <c r="Z52" i="11"/>
  <c r="AB52" i="11"/>
  <c r="Z104" i="11"/>
  <c r="AB104" i="11"/>
  <c r="Z48" i="11"/>
  <c r="AB48" i="11"/>
  <c r="Z42" i="11"/>
  <c r="AB42" i="11"/>
  <c r="Z82" i="11"/>
  <c r="AB82" i="11"/>
  <c r="AA5" i="11"/>
  <c r="AA8" i="11"/>
  <c r="AA10" i="11"/>
  <c r="EW79" i="28"/>
  <c r="EX79" i="28"/>
  <c r="Q79" i="31"/>
  <c r="K8" i="30"/>
  <c r="F46" i="30"/>
  <c r="J46" i="30"/>
  <c r="CB46" i="28"/>
  <c r="EB46" i="28"/>
  <c r="E26" i="30"/>
  <c r="I26" i="30"/>
  <c r="BP26" i="28"/>
  <c r="DP26" i="28"/>
  <c r="D64" i="30"/>
  <c r="H64" i="30"/>
  <c r="BD64" i="28"/>
  <c r="DD64" i="28"/>
  <c r="D65" i="29"/>
  <c r="H65" i="29"/>
  <c r="EU26" i="28"/>
  <c r="F47" i="29"/>
  <c r="J47" i="29"/>
  <c r="E27" i="29"/>
  <c r="I27" i="29"/>
  <c r="ER27" i="28"/>
  <c r="ET27" i="28"/>
  <c r="DZ17" i="28"/>
  <c r="EI17" i="28"/>
  <c r="AX66" i="28"/>
  <c r="AZ66" i="28"/>
  <c r="BE66" i="28"/>
  <c r="DF66" i="28"/>
  <c r="AT67" i="28"/>
  <c r="AV67" i="28"/>
  <c r="AU66" i="28"/>
  <c r="DN17" i="28"/>
  <c r="BC64" i="28"/>
  <c r="C64" i="32"/>
  <c r="H64" i="32"/>
  <c r="AW65" i="28"/>
  <c r="AY65" i="28"/>
  <c r="BA65" i="28"/>
  <c r="BB65" i="28"/>
  <c r="BI27" i="28"/>
  <c r="BK27" i="28"/>
  <c r="BM27" i="28"/>
  <c r="BN27" i="28"/>
  <c r="BO26" i="28"/>
  <c r="D26" i="32"/>
  <c r="I26" i="32"/>
  <c r="DB30" i="28"/>
  <c r="DK30" i="28"/>
  <c r="BF29" i="28"/>
  <c r="BH29" i="28"/>
  <c r="BG28" i="28"/>
  <c r="BJ28" i="28"/>
  <c r="BL28" i="28"/>
  <c r="BQ28" i="28"/>
  <c r="DR28" i="28"/>
  <c r="EL29" i="28"/>
  <c r="EQ28" i="28"/>
  <c r="EP28" i="28"/>
  <c r="EM28" i="28"/>
  <c r="EN28" i="28"/>
  <c r="EO27" i="28"/>
  <c r="ES27" i="28"/>
  <c r="BR49" i="28"/>
  <c r="BT49" i="28"/>
  <c r="BS48" i="28"/>
  <c r="BV48" i="28"/>
  <c r="BX48" i="28"/>
  <c r="CC48" i="28"/>
  <c r="ED48" i="28"/>
  <c r="CA46" i="28"/>
  <c r="E46" i="32"/>
  <c r="J46" i="32"/>
  <c r="BU47" i="28"/>
  <c r="BW47" i="28"/>
  <c r="BY47" i="28"/>
  <c r="BZ47" i="28"/>
  <c r="K44" i="12"/>
  <c r="E42" i="12"/>
  <c r="J43" i="12"/>
  <c r="L44" i="12"/>
  <c r="K43" i="12"/>
  <c r="EX26" i="28"/>
  <c r="Q26" i="31"/>
  <c r="K31" i="30"/>
  <c r="F39" i="31"/>
  <c r="L39" i="31"/>
  <c r="EW13" i="28"/>
  <c r="K13" i="31"/>
  <c r="F38" i="31"/>
  <c r="L38" i="31"/>
  <c r="M34" i="30"/>
  <c r="K49" i="32"/>
  <c r="K17" i="32"/>
  <c r="EW26" i="28"/>
  <c r="K26" i="31"/>
  <c r="K86" i="32"/>
  <c r="EX12" i="28"/>
  <c r="Q12" i="31"/>
  <c r="EW62" i="28"/>
  <c r="K62" i="31"/>
  <c r="K80" i="32"/>
  <c r="EX86" i="28"/>
  <c r="Q86" i="31"/>
  <c r="EW38" i="28"/>
  <c r="K38" i="31"/>
  <c r="EX8" i="28"/>
  <c r="Q8" i="31"/>
  <c r="EX82" i="28"/>
  <c r="Q82" i="31"/>
  <c r="EW8" i="28"/>
  <c r="K8" i="31"/>
  <c r="F51" i="31"/>
  <c r="L51" i="31"/>
  <c r="EW39" i="28"/>
  <c r="K39" i="31"/>
  <c r="K86" i="30"/>
  <c r="L18" i="32"/>
  <c r="K6" i="32"/>
  <c r="M85" i="30"/>
  <c r="K35" i="32"/>
  <c r="M66" i="30"/>
  <c r="F86" i="31"/>
  <c r="L86" i="31"/>
  <c r="F30" i="31"/>
  <c r="L30" i="31"/>
  <c r="EW40" i="28"/>
  <c r="K40" i="31"/>
  <c r="M61" i="30"/>
  <c r="K13" i="32"/>
  <c r="F7" i="31"/>
  <c r="L7" i="31"/>
  <c r="EW30" i="28"/>
  <c r="K30" i="31"/>
  <c r="L22" i="32"/>
  <c r="F70" i="31"/>
  <c r="L70" i="31"/>
  <c r="EX52" i="28"/>
  <c r="Q52" i="31"/>
  <c r="EX7" i="28"/>
  <c r="Q7" i="31"/>
  <c r="K53" i="32"/>
  <c r="EW72" i="28"/>
  <c r="K72" i="31"/>
  <c r="EX72" i="28"/>
  <c r="Q72" i="31"/>
  <c r="K61" i="32"/>
  <c r="K57" i="32"/>
  <c r="EW21" i="28"/>
  <c r="K21" i="31"/>
  <c r="F35" i="31"/>
  <c r="L35" i="31"/>
  <c r="M63" i="30"/>
  <c r="EX31" i="28"/>
  <c r="Q31" i="31"/>
  <c r="EX35" i="28"/>
  <c r="Q35" i="31"/>
  <c r="EX47" i="28"/>
  <c r="Q47" i="31"/>
  <c r="F75" i="31"/>
  <c r="L75" i="31"/>
  <c r="EX15" i="28"/>
  <c r="Q15" i="31"/>
  <c r="M53" i="30"/>
  <c r="F29" i="31"/>
  <c r="L29" i="31"/>
  <c r="EX14" i="28"/>
  <c r="Q14" i="31"/>
  <c r="K42" i="32"/>
  <c r="M16" i="30"/>
  <c r="F11" i="31"/>
  <c r="L11" i="31"/>
  <c r="K14" i="32"/>
  <c r="L40" i="32"/>
  <c r="K38" i="30"/>
  <c r="K83" i="32"/>
  <c r="F80" i="31"/>
  <c r="L80" i="31"/>
  <c r="EX80" i="28"/>
  <c r="Q80" i="31"/>
  <c r="EW80" i="28"/>
  <c r="K80" i="31"/>
  <c r="K82" i="32"/>
  <c r="K30" i="30"/>
  <c r="K58" i="32"/>
  <c r="K70" i="30"/>
  <c r="K22" i="30"/>
  <c r="M15" i="30"/>
  <c r="K41" i="32"/>
  <c r="EX28" i="28"/>
  <c r="Q28" i="31"/>
  <c r="EW28" i="28"/>
  <c r="K28" i="31"/>
  <c r="F81" i="31"/>
  <c r="L81" i="31"/>
  <c r="EW81" i="28"/>
  <c r="K81" i="31"/>
  <c r="EX81" i="28"/>
  <c r="Q81" i="31"/>
  <c r="F9" i="31"/>
  <c r="L9" i="31"/>
  <c r="M29" i="30"/>
  <c r="EX9" i="28"/>
  <c r="Q9" i="31"/>
  <c r="K12" i="30"/>
  <c r="EX16" i="28"/>
  <c r="Q16" i="31"/>
  <c r="EW31" i="28"/>
  <c r="K31" i="31"/>
  <c r="EW29" i="28"/>
  <c r="K29" i="31"/>
  <c r="F15" i="31"/>
  <c r="L15" i="31"/>
  <c r="EW70" i="28"/>
  <c r="K70" i="31"/>
  <c r="EW16" i="28"/>
  <c r="K16" i="31"/>
  <c r="F40" i="31"/>
  <c r="L40" i="31"/>
  <c r="K85" i="32"/>
  <c r="P16" i="31"/>
  <c r="K51" i="32"/>
  <c r="K11" i="30"/>
  <c r="K33" i="32"/>
  <c r="EX21" i="28"/>
  <c r="Q21" i="31"/>
  <c r="F5" i="31"/>
  <c r="L5" i="31"/>
  <c r="AA11" i="11"/>
  <c r="AA12" i="11"/>
  <c r="K31" i="12"/>
  <c r="K9" i="30"/>
  <c r="F42" i="31"/>
  <c r="L42" i="31"/>
  <c r="EX75" i="28"/>
  <c r="Q75" i="31"/>
  <c r="M83" i="30"/>
  <c r="EX42" i="28"/>
  <c r="Q42" i="31"/>
  <c r="K75" i="30"/>
  <c r="K16" i="32"/>
  <c r="L59" i="32"/>
  <c r="EW65" i="28"/>
  <c r="K65" i="31"/>
  <c r="F65" i="31"/>
  <c r="L65" i="31"/>
  <c r="K70" i="32"/>
  <c r="EX65" i="28"/>
  <c r="Q65" i="31"/>
  <c r="F82" i="31"/>
  <c r="L82" i="31"/>
  <c r="EW12" i="28"/>
  <c r="K12" i="31"/>
  <c r="P15" i="31"/>
  <c r="EX25" i="28"/>
  <c r="Q25" i="31"/>
  <c r="EW5" i="28"/>
  <c r="K5" i="31"/>
  <c r="L5" i="32"/>
  <c r="K5" i="32"/>
  <c r="K44" i="30"/>
  <c r="M44" i="30"/>
  <c r="F25" i="31"/>
  <c r="L25" i="31"/>
  <c r="EX10" i="28"/>
  <c r="Q10" i="31"/>
  <c r="L25" i="32"/>
  <c r="K25" i="32"/>
  <c r="EX18" i="28"/>
  <c r="Q18" i="31"/>
  <c r="EW18" i="28"/>
  <c r="K18" i="31"/>
  <c r="F18" i="31"/>
  <c r="L18" i="31"/>
  <c r="K10" i="30"/>
  <c r="M10" i="30"/>
  <c r="M18" i="30"/>
  <c r="K18" i="30"/>
  <c r="M5" i="30"/>
  <c r="K5" i="30"/>
  <c r="K52" i="30"/>
  <c r="M52" i="30"/>
  <c r="EW10" i="28"/>
  <c r="K10" i="31"/>
  <c r="M59" i="30"/>
  <c r="K59" i="30"/>
  <c r="M25" i="30"/>
  <c r="K25" i="30"/>
  <c r="L44" i="32"/>
  <c r="K44" i="32"/>
  <c r="K52" i="32"/>
  <c r="L52" i="32"/>
  <c r="R28" i="31"/>
  <c r="E40" i="12"/>
  <c r="EW4" i="28"/>
  <c r="K4" i="31"/>
  <c r="F4" i="31"/>
  <c r="L4" i="31"/>
  <c r="Q4" i="31"/>
  <c r="DT17" i="28"/>
  <c r="DW17" i="28"/>
  <c r="EW73" i="28"/>
  <c r="K73" i="31"/>
  <c r="EX73" i="28"/>
  <c r="Q73" i="31"/>
  <c r="F73" i="31"/>
  <c r="L73" i="31"/>
  <c r="F64" i="31"/>
  <c r="L64" i="31"/>
  <c r="EW64" i="28"/>
  <c r="K64" i="31"/>
  <c r="EX64" i="28"/>
  <c r="Q64" i="31"/>
  <c r="F50" i="31"/>
  <c r="L50" i="31"/>
  <c r="EX50" i="28"/>
  <c r="Q50" i="31"/>
  <c r="F45" i="31"/>
  <c r="L45" i="31"/>
  <c r="EW45" i="28"/>
  <c r="K45" i="31"/>
  <c r="EX45" i="28"/>
  <c r="Q45" i="31"/>
  <c r="EX43" i="28"/>
  <c r="Q43" i="31"/>
  <c r="F43" i="31"/>
  <c r="L43" i="31"/>
  <c r="F37" i="31"/>
  <c r="L37" i="31"/>
  <c r="EX37" i="28"/>
  <c r="Q37" i="31"/>
  <c r="F56" i="31"/>
  <c r="L56" i="31"/>
  <c r="EW56" i="28"/>
  <c r="K56" i="31"/>
  <c r="EX56" i="28"/>
  <c r="Q56" i="31"/>
  <c r="DJ29" i="28"/>
  <c r="C29" i="31"/>
  <c r="H29" i="31"/>
  <c r="EH16" i="28"/>
  <c r="E16" i="31"/>
  <c r="J16" i="31"/>
  <c r="EH15" i="28"/>
  <c r="E15" i="31"/>
  <c r="J15" i="31"/>
  <c r="DO17" i="28"/>
  <c r="DU17" i="28"/>
  <c r="DV16" i="28"/>
  <c r="D16" i="31"/>
  <c r="I16" i="31"/>
  <c r="DC30" i="28"/>
  <c r="N30" i="31"/>
  <c r="DI30" i="28"/>
  <c r="DH30" i="28"/>
  <c r="EA17" i="28"/>
  <c r="P17" i="31"/>
  <c r="EG17" i="28"/>
  <c r="EF17" i="28"/>
  <c r="DV15" i="28"/>
  <c r="D15" i="31"/>
  <c r="I15" i="31"/>
  <c r="DS28" i="28"/>
  <c r="DE64" i="28"/>
  <c r="DG66" i="28"/>
  <c r="DQ26" i="28"/>
  <c r="EC46" i="28"/>
  <c r="EE48" i="28"/>
  <c r="E41" i="12"/>
  <c r="Y23" i="11"/>
  <c r="AA23" i="11"/>
  <c r="AC23" i="11"/>
  <c r="Y25" i="11"/>
  <c r="AA25" i="11"/>
  <c r="AC25" i="11"/>
  <c r="Y28" i="11"/>
  <c r="AA28" i="11"/>
  <c r="AC28" i="11"/>
  <c r="Y27" i="11"/>
  <c r="AA27" i="11"/>
  <c r="AC27" i="11"/>
  <c r="Y30" i="11"/>
  <c r="AA30" i="11"/>
  <c r="AC30" i="11"/>
  <c r="F47" i="30"/>
  <c r="J47" i="30"/>
  <c r="CB47" i="28"/>
  <c r="EB47" i="28"/>
  <c r="E27" i="30"/>
  <c r="I27" i="30"/>
  <c r="BP27" i="28"/>
  <c r="DP27" i="28"/>
  <c r="D65" i="30"/>
  <c r="H65" i="30"/>
  <c r="BD65" i="28"/>
  <c r="DD65" i="28"/>
  <c r="EU27" i="28"/>
  <c r="F48" i="29"/>
  <c r="J48" i="29"/>
  <c r="E28" i="29"/>
  <c r="I28" i="29"/>
  <c r="D66" i="29"/>
  <c r="H66" i="29"/>
  <c r="AW66" i="28"/>
  <c r="AY66" i="28"/>
  <c r="BA66" i="28"/>
  <c r="BB66" i="28"/>
  <c r="ER28" i="28"/>
  <c r="ET28" i="28"/>
  <c r="DN18" i="28"/>
  <c r="DW18" i="28"/>
  <c r="AT68" i="28"/>
  <c r="AV68" i="28"/>
  <c r="AU67" i="28"/>
  <c r="AX67" i="28"/>
  <c r="AZ67" i="28"/>
  <c r="BE67" i="28"/>
  <c r="DF67" i="28"/>
  <c r="DZ18" i="28"/>
  <c r="EI18" i="28"/>
  <c r="BC65" i="28"/>
  <c r="C65" i="32"/>
  <c r="H65" i="32"/>
  <c r="CA47" i="28"/>
  <c r="E47" i="32"/>
  <c r="J47" i="32"/>
  <c r="BU48" i="28"/>
  <c r="BW48" i="28"/>
  <c r="BY48" i="28"/>
  <c r="BZ48" i="28"/>
  <c r="EO28" i="28"/>
  <c r="ES28" i="28"/>
  <c r="BI28" i="28"/>
  <c r="BK28" i="28"/>
  <c r="BM28" i="28"/>
  <c r="BN28" i="28"/>
  <c r="BR50" i="28"/>
  <c r="BT50" i="28"/>
  <c r="BS49" i="28"/>
  <c r="BV49" i="28"/>
  <c r="BX49" i="28"/>
  <c r="CC49" i="28"/>
  <c r="ED49" i="28"/>
  <c r="EP29" i="28"/>
  <c r="EL30" i="28"/>
  <c r="EQ29" i="28"/>
  <c r="EN29" i="28"/>
  <c r="EM29" i="28"/>
  <c r="BF30" i="28"/>
  <c r="BH30" i="28"/>
  <c r="BJ29" i="28"/>
  <c r="BL29" i="28"/>
  <c r="BQ29" i="28"/>
  <c r="DR29" i="28"/>
  <c r="BG29" i="28"/>
  <c r="BO27" i="28"/>
  <c r="D27" i="32"/>
  <c r="I27" i="32"/>
  <c r="DB31" i="28"/>
  <c r="DK31" i="28"/>
  <c r="D34" i="12"/>
  <c r="J44" i="12"/>
  <c r="L43" i="12"/>
  <c r="K40" i="12"/>
  <c r="L40" i="12"/>
  <c r="K37" i="12"/>
  <c r="L37" i="12"/>
  <c r="L38" i="12"/>
  <c r="L39" i="12"/>
  <c r="L36" i="12"/>
  <c r="DV17" i="28"/>
  <c r="D17" i="31"/>
  <c r="I17" i="31"/>
  <c r="R29" i="31"/>
  <c r="O17" i="31"/>
  <c r="DJ30" i="28"/>
  <c r="C30" i="31"/>
  <c r="H30" i="31"/>
  <c r="DO18" i="28"/>
  <c r="O18" i="31"/>
  <c r="DU18" i="28"/>
  <c r="DT18" i="28"/>
  <c r="EH17" i="28"/>
  <c r="E17" i="31"/>
  <c r="J17" i="31"/>
  <c r="EA18" i="28"/>
  <c r="P18" i="31"/>
  <c r="EG18" i="28"/>
  <c r="EF18" i="28"/>
  <c r="DC31" i="28"/>
  <c r="N31" i="31"/>
  <c r="DI31" i="28"/>
  <c r="DH31" i="28"/>
  <c r="DG67" i="28"/>
  <c r="DE65" i="28"/>
  <c r="DQ27" i="28"/>
  <c r="EE49" i="28"/>
  <c r="EC47" i="28"/>
  <c r="DS29" i="28"/>
  <c r="Y66" i="11"/>
  <c r="AA66" i="11"/>
  <c r="AC66" i="11"/>
  <c r="Y70" i="11"/>
  <c r="AA70" i="11"/>
  <c r="AC70" i="11"/>
  <c r="Y32" i="11"/>
  <c r="AA32" i="11"/>
  <c r="AC32" i="11"/>
  <c r="Y29" i="11"/>
  <c r="AA29" i="11"/>
  <c r="AC29" i="11"/>
  <c r="Y51" i="11"/>
  <c r="AA51" i="11"/>
  <c r="AC51" i="11"/>
  <c r="Y78" i="11"/>
  <c r="AA78" i="11"/>
  <c r="AC78" i="11"/>
  <c r="Y53" i="11"/>
  <c r="AA53" i="11"/>
  <c r="AC53" i="11"/>
  <c r="Y84" i="11"/>
  <c r="AA84" i="11"/>
  <c r="AC84" i="11"/>
  <c r="Y104" i="11"/>
  <c r="AA104" i="11"/>
  <c r="AC104" i="11"/>
  <c r="Y48" i="11"/>
  <c r="AA48" i="11"/>
  <c r="AC48" i="11"/>
  <c r="Y119" i="11"/>
  <c r="AA119" i="11"/>
  <c r="AC119" i="11"/>
  <c r="Y109" i="11"/>
  <c r="AA109" i="11"/>
  <c r="AC109" i="11"/>
  <c r="Y52" i="11"/>
  <c r="AA52" i="11"/>
  <c r="AC52" i="11"/>
  <c r="Y89" i="11"/>
  <c r="AA89" i="11"/>
  <c r="AC89" i="11"/>
  <c r="Y72" i="11"/>
  <c r="AA72" i="11"/>
  <c r="AC72" i="11"/>
  <c r="Y36" i="11"/>
  <c r="AA36" i="11"/>
  <c r="AC36" i="11"/>
  <c r="Y73" i="11"/>
  <c r="AA73" i="11"/>
  <c r="AC73" i="11"/>
  <c r="Y88" i="11"/>
  <c r="AA88" i="11"/>
  <c r="AC88" i="11"/>
  <c r="Y83" i="11"/>
  <c r="AA83" i="11"/>
  <c r="AC83" i="11"/>
  <c r="Y117" i="11"/>
  <c r="AA117" i="11"/>
  <c r="AC117" i="11"/>
  <c r="AA20" i="11"/>
  <c r="AC20" i="11"/>
  <c r="Y54" i="11"/>
  <c r="AA54" i="11"/>
  <c r="AC54" i="11"/>
  <c r="Y26" i="11"/>
  <c r="AA26" i="11"/>
  <c r="AC26" i="11"/>
  <c r="Y67" i="11"/>
  <c r="AA67" i="11"/>
  <c r="AC67" i="11"/>
  <c r="Y76" i="11"/>
  <c r="AA76" i="11"/>
  <c r="AC76" i="11"/>
  <c r="Y60" i="11"/>
  <c r="AA60" i="11"/>
  <c r="AC60" i="11"/>
  <c r="Y110" i="11"/>
  <c r="AA110" i="11"/>
  <c r="AC110" i="11"/>
  <c r="Y115" i="11"/>
  <c r="AA115" i="11"/>
  <c r="AC115" i="11"/>
  <c r="Y108" i="11"/>
  <c r="AA108" i="11"/>
  <c r="AC108" i="11"/>
  <c r="Y75" i="11"/>
  <c r="AA75" i="11"/>
  <c r="AC75" i="11"/>
  <c r="Y31" i="11"/>
  <c r="AA31" i="11"/>
  <c r="AC31" i="11"/>
  <c r="Y99" i="11"/>
  <c r="AA99" i="11"/>
  <c r="AC99" i="11"/>
  <c r="Y85" i="11"/>
  <c r="AA85" i="11"/>
  <c r="AC85" i="11"/>
  <c r="Y22" i="11"/>
  <c r="AA22" i="11"/>
  <c r="AC22" i="11"/>
  <c r="Y106" i="11"/>
  <c r="AA106" i="11"/>
  <c r="AC106" i="11"/>
  <c r="Y93" i="11"/>
  <c r="AA93" i="11"/>
  <c r="AC93" i="11"/>
  <c r="Y21" i="11"/>
  <c r="AA21" i="11"/>
  <c r="AC21" i="11"/>
  <c r="Y24" i="11"/>
  <c r="AA24" i="11"/>
  <c r="AC24" i="11"/>
  <c r="Y121" i="11"/>
  <c r="AA121" i="11"/>
  <c r="AC121" i="11"/>
  <c r="Y50" i="11"/>
  <c r="AA50" i="11"/>
  <c r="AC50" i="11"/>
  <c r="Y82" i="11"/>
  <c r="AA82" i="11"/>
  <c r="AC82" i="11"/>
  <c r="F48" i="30"/>
  <c r="J48" i="30"/>
  <c r="CB48" i="28"/>
  <c r="EB48" i="28"/>
  <c r="D66" i="30"/>
  <c r="H66" i="30"/>
  <c r="BD66" i="28"/>
  <c r="DD66" i="28"/>
  <c r="E28" i="30"/>
  <c r="I28" i="30"/>
  <c r="BP28" i="28"/>
  <c r="DP28" i="28"/>
  <c r="E29" i="29"/>
  <c r="I29" i="29"/>
  <c r="EU28" i="28"/>
  <c r="D67" i="29"/>
  <c r="H67" i="29"/>
  <c r="F49" i="29"/>
  <c r="J49" i="29"/>
  <c r="ER29" i="28"/>
  <c r="ET29" i="28"/>
  <c r="BC66" i="28"/>
  <c r="C66" i="32"/>
  <c r="H66" i="32"/>
  <c r="AW67" i="28"/>
  <c r="AY67" i="28"/>
  <c r="BA67" i="28"/>
  <c r="BB67" i="28"/>
  <c r="DN19" i="28"/>
  <c r="DW19" i="28"/>
  <c r="DZ19" i="28"/>
  <c r="EI19" i="28"/>
  <c r="AT69" i="28"/>
  <c r="AV69" i="28"/>
  <c r="AX68" i="28"/>
  <c r="AZ68" i="28"/>
  <c r="BE68" i="28"/>
  <c r="DF68" i="28"/>
  <c r="AU68" i="28"/>
  <c r="BI29" i="28"/>
  <c r="BK29" i="28"/>
  <c r="BM29" i="28"/>
  <c r="BN29" i="28"/>
  <c r="BU49" i="28"/>
  <c r="BW49" i="28"/>
  <c r="BY49" i="28"/>
  <c r="BZ49" i="28"/>
  <c r="DB32" i="28"/>
  <c r="DK32" i="28"/>
  <c r="EL31" i="28"/>
  <c r="EN30" i="28"/>
  <c r="EP30" i="28"/>
  <c r="EM30" i="28"/>
  <c r="EQ30" i="28"/>
  <c r="BR51" i="28"/>
  <c r="BT51" i="28"/>
  <c r="BV50" i="28"/>
  <c r="BX50" i="28"/>
  <c r="CC50" i="28"/>
  <c r="ED50" i="28"/>
  <c r="BS50" i="28"/>
  <c r="BF31" i="28"/>
  <c r="BH31" i="28"/>
  <c r="BG30" i="28"/>
  <c r="BJ30" i="28"/>
  <c r="BL30" i="28"/>
  <c r="BQ30" i="28"/>
  <c r="DR30" i="28"/>
  <c r="EO29" i="28"/>
  <c r="ES29" i="28"/>
  <c r="BO28" i="28"/>
  <c r="D28" i="32"/>
  <c r="I28" i="32"/>
  <c r="CA48" i="28"/>
  <c r="E48" i="32"/>
  <c r="J48" i="32"/>
  <c r="D37" i="12"/>
  <c r="K29" i="12"/>
  <c r="K32" i="12"/>
  <c r="R30" i="31"/>
  <c r="DV18" i="28"/>
  <c r="D18" i="31"/>
  <c r="I18" i="31"/>
  <c r="DJ31" i="28"/>
  <c r="C31" i="31"/>
  <c r="H31" i="31"/>
  <c r="EA19" i="28"/>
  <c r="P19" i="31"/>
  <c r="EG19" i="28"/>
  <c r="EF19" i="28"/>
  <c r="DC32" i="28"/>
  <c r="N32" i="31"/>
  <c r="DI32" i="28"/>
  <c r="DH32" i="28"/>
  <c r="DO19" i="28"/>
  <c r="O19" i="31"/>
  <c r="DU19" i="28"/>
  <c r="DT19" i="28"/>
  <c r="EH18" i="28"/>
  <c r="E18" i="31"/>
  <c r="J18" i="31"/>
  <c r="EC48" i="28"/>
  <c r="DG68" i="28"/>
  <c r="DS30" i="28"/>
  <c r="DQ28" i="28"/>
  <c r="DE66" i="28"/>
  <c r="EE50" i="28"/>
  <c r="Y86" i="11"/>
  <c r="AA86" i="11"/>
  <c r="AC86" i="11"/>
  <c r="Y61" i="11"/>
  <c r="AA61" i="11"/>
  <c r="AC61" i="11"/>
  <c r="Y87" i="11"/>
  <c r="AA87" i="11"/>
  <c r="AC87" i="11"/>
  <c r="Y34" i="11"/>
  <c r="AA34" i="11"/>
  <c r="AC34" i="11"/>
  <c r="Y94" i="11"/>
  <c r="AA94" i="11"/>
  <c r="AC94" i="11"/>
  <c r="Y40" i="11"/>
  <c r="AA40" i="11"/>
  <c r="AC40" i="11"/>
  <c r="Y116" i="11"/>
  <c r="AA116" i="11"/>
  <c r="AC116" i="11"/>
  <c r="Y33" i="11"/>
  <c r="AA33" i="11"/>
  <c r="AC33" i="11"/>
  <c r="Y74" i="11"/>
  <c r="AA74" i="11"/>
  <c r="AC74" i="11"/>
  <c r="Y49" i="11"/>
  <c r="AA49" i="11"/>
  <c r="AC49" i="11"/>
  <c r="Y44" i="11"/>
  <c r="AA44" i="11"/>
  <c r="AC44" i="11"/>
  <c r="Y71" i="11"/>
  <c r="AA71" i="11"/>
  <c r="AC71" i="11"/>
  <c r="Y105" i="11"/>
  <c r="AA105" i="11"/>
  <c r="AC105" i="11"/>
  <c r="Y65" i="11"/>
  <c r="AA65" i="11"/>
  <c r="AC65" i="11"/>
  <c r="Y120" i="11"/>
  <c r="AA120" i="11"/>
  <c r="AC120" i="11"/>
  <c r="Y111" i="11"/>
  <c r="AA111" i="11"/>
  <c r="AC111" i="11"/>
  <c r="Y64" i="11"/>
  <c r="AA64" i="11"/>
  <c r="AC64" i="11"/>
  <c r="Y62" i="11"/>
  <c r="AA62" i="11"/>
  <c r="AC62" i="11"/>
  <c r="Y101" i="11"/>
  <c r="AA101" i="11"/>
  <c r="AC101" i="11"/>
  <c r="Y92" i="11"/>
  <c r="AA92" i="11"/>
  <c r="AC92" i="11"/>
  <c r="Y80" i="11"/>
  <c r="AA80" i="11"/>
  <c r="AC80" i="11"/>
  <c r="Y118" i="11"/>
  <c r="AA118" i="11"/>
  <c r="AC118" i="11"/>
  <c r="Y90" i="11"/>
  <c r="AA90" i="11"/>
  <c r="AC90" i="11"/>
  <c r="Y41" i="11"/>
  <c r="AA41" i="11"/>
  <c r="AC41" i="11"/>
  <c r="Y107" i="11"/>
  <c r="AA107" i="11"/>
  <c r="AC107" i="11"/>
  <c r="Y43" i="11"/>
  <c r="AA43" i="11"/>
  <c r="AC43" i="11"/>
  <c r="Y69" i="11"/>
  <c r="AA69" i="11"/>
  <c r="AC69" i="11"/>
  <c r="Y95" i="11"/>
  <c r="AA95" i="11"/>
  <c r="AC95" i="11"/>
  <c r="Y35" i="11"/>
  <c r="AA35" i="11"/>
  <c r="AC35" i="11"/>
  <c r="Y91" i="11"/>
  <c r="AA91" i="11"/>
  <c r="AC91" i="11"/>
  <c r="Y46" i="11"/>
  <c r="AA46" i="11"/>
  <c r="AC46" i="11"/>
  <c r="Y68" i="11"/>
  <c r="AA68" i="11"/>
  <c r="AC68" i="11"/>
  <c r="Y100" i="11"/>
  <c r="AA100" i="11"/>
  <c r="AC100" i="11"/>
  <c r="Y55" i="11"/>
  <c r="AA55" i="11"/>
  <c r="AC55" i="11"/>
  <c r="Y97" i="11"/>
  <c r="AA97" i="11"/>
  <c r="AC97" i="11"/>
  <c r="Y58" i="11"/>
  <c r="AA58" i="11"/>
  <c r="AC58" i="11"/>
  <c r="Y103" i="11"/>
  <c r="AA103" i="11"/>
  <c r="AC103" i="11"/>
  <c r="Y45" i="11"/>
  <c r="AA45" i="11"/>
  <c r="AC45" i="11"/>
  <c r="Y59" i="11"/>
  <c r="AA59" i="11"/>
  <c r="AC59" i="11"/>
  <c r="Y57" i="11"/>
  <c r="AA57" i="11"/>
  <c r="AC57" i="11"/>
  <c r="Y37" i="11"/>
  <c r="AA37" i="11"/>
  <c r="AC37" i="11"/>
  <c r="Y96" i="11"/>
  <c r="AA96" i="11"/>
  <c r="AC96" i="11"/>
  <c r="Y79" i="11"/>
  <c r="AA79" i="11"/>
  <c r="AC79" i="11"/>
  <c r="Y39" i="11"/>
  <c r="AA39" i="11"/>
  <c r="AC39" i="11"/>
  <c r="Y112" i="11"/>
  <c r="AA112" i="11"/>
  <c r="AC112" i="11"/>
  <c r="Y102" i="11"/>
  <c r="AA102" i="11"/>
  <c r="AC102" i="11"/>
  <c r="Y47" i="11"/>
  <c r="AA47" i="11"/>
  <c r="AC47" i="11"/>
  <c r="Y63" i="11"/>
  <c r="AA63" i="11"/>
  <c r="AC63" i="11"/>
  <c r="Y42" i="11"/>
  <c r="AA42" i="11"/>
  <c r="AC42" i="11"/>
  <c r="Y38" i="11"/>
  <c r="AA38" i="11"/>
  <c r="AC38" i="11"/>
  <c r="Y113" i="11"/>
  <c r="AA113" i="11"/>
  <c r="AC113" i="11"/>
  <c r="Y81" i="11"/>
  <c r="AA81" i="11"/>
  <c r="AC81" i="11"/>
  <c r="Y114" i="11"/>
  <c r="AA114" i="11"/>
  <c r="AC114" i="11"/>
  <c r="Y56" i="11"/>
  <c r="AA56" i="11"/>
  <c r="AC56" i="11"/>
  <c r="Y98" i="11"/>
  <c r="AA98" i="11"/>
  <c r="AC98" i="11"/>
  <c r="Y77" i="11"/>
  <c r="AA77" i="11"/>
  <c r="AC77" i="11"/>
  <c r="AA19" i="11"/>
  <c r="AC19" i="11"/>
  <c r="F50" i="29"/>
  <c r="J50" i="29"/>
  <c r="F49" i="30"/>
  <c r="J49" i="30"/>
  <c r="CB49" i="28"/>
  <c r="EB49" i="28"/>
  <c r="D67" i="30"/>
  <c r="H67" i="30"/>
  <c r="BD67" i="28"/>
  <c r="DD67" i="28"/>
  <c r="E29" i="30"/>
  <c r="I29" i="30"/>
  <c r="BP29" i="28"/>
  <c r="DP29" i="28"/>
  <c r="EU29" i="28"/>
  <c r="E30" i="29"/>
  <c r="I30" i="29"/>
  <c r="D68" i="29"/>
  <c r="H68" i="29"/>
  <c r="AT70" i="28"/>
  <c r="AV70" i="28"/>
  <c r="AX69" i="28"/>
  <c r="AZ69" i="28"/>
  <c r="BE69" i="28"/>
  <c r="DF69" i="28"/>
  <c r="AU69" i="28"/>
  <c r="BC67" i="28"/>
  <c r="C67" i="32"/>
  <c r="H67" i="32"/>
  <c r="ER30" i="28"/>
  <c r="ET30" i="28"/>
  <c r="AW68" i="28"/>
  <c r="AY68" i="28"/>
  <c r="BA68" i="28"/>
  <c r="BB68" i="28"/>
  <c r="DZ20" i="28"/>
  <c r="EI20" i="28"/>
  <c r="DN20" i="28"/>
  <c r="DW20" i="28"/>
  <c r="EQ31" i="28"/>
  <c r="EL32" i="28"/>
  <c r="EP31" i="28"/>
  <c r="EM31" i="28"/>
  <c r="EN31" i="28"/>
  <c r="DB33" i="28"/>
  <c r="DK33" i="28"/>
  <c r="BF32" i="28"/>
  <c r="BH32" i="28"/>
  <c r="BG31" i="28"/>
  <c r="BJ31" i="28"/>
  <c r="BL31" i="28"/>
  <c r="BQ31" i="28"/>
  <c r="DR31" i="28"/>
  <c r="EO30" i="28"/>
  <c r="ES30" i="28"/>
  <c r="BI30" i="28"/>
  <c r="BK30" i="28"/>
  <c r="BM30" i="28"/>
  <c r="BN30" i="28"/>
  <c r="BU50" i="28"/>
  <c r="BW50" i="28"/>
  <c r="BY50" i="28"/>
  <c r="BZ50" i="28"/>
  <c r="BR52" i="28"/>
  <c r="BT52" i="28"/>
  <c r="BS51" i="28"/>
  <c r="BV51" i="28"/>
  <c r="BX51" i="28"/>
  <c r="CC51" i="28"/>
  <c r="ED51" i="28"/>
  <c r="BO29" i="28"/>
  <c r="D29" i="32"/>
  <c r="I29" i="32"/>
  <c r="CA49" i="28"/>
  <c r="E49" i="32"/>
  <c r="J49" i="32"/>
  <c r="L31" i="12"/>
  <c r="L29" i="12"/>
  <c r="B48" i="11"/>
  <c r="K30" i="12"/>
  <c r="L30" i="12"/>
  <c r="R31" i="31"/>
  <c r="EH19" i="28"/>
  <c r="E19" i="31"/>
  <c r="J19" i="31"/>
  <c r="DV19" i="28"/>
  <c r="D19" i="31"/>
  <c r="I19" i="31"/>
  <c r="EA20" i="28"/>
  <c r="P20" i="31"/>
  <c r="EG20" i="28"/>
  <c r="EF20" i="28"/>
  <c r="DC33" i="28"/>
  <c r="N33" i="31"/>
  <c r="DI33" i="28"/>
  <c r="DH33" i="28"/>
  <c r="DO20" i="28"/>
  <c r="O20" i="31"/>
  <c r="DU20" i="28"/>
  <c r="DT20" i="28"/>
  <c r="DJ32" i="28"/>
  <c r="C32" i="31"/>
  <c r="H32" i="31"/>
  <c r="DQ29" i="28"/>
  <c r="DE67" i="28"/>
  <c r="EE51" i="28"/>
  <c r="DS31" i="28"/>
  <c r="EC49" i="28"/>
  <c r="DG69" i="28"/>
  <c r="F50" i="30"/>
  <c r="J50" i="30"/>
  <c r="CB50" i="28"/>
  <c r="EB50" i="28"/>
  <c r="E30" i="30"/>
  <c r="I30" i="30"/>
  <c r="BP30" i="28"/>
  <c r="DP30" i="28"/>
  <c r="D68" i="30"/>
  <c r="H68" i="30"/>
  <c r="BD68" i="28"/>
  <c r="DD68" i="28"/>
  <c r="D69" i="29"/>
  <c r="H69" i="29"/>
  <c r="F51" i="29"/>
  <c r="J51" i="29"/>
  <c r="EU30" i="28"/>
  <c r="E31" i="29"/>
  <c r="I31" i="29"/>
  <c r="EO31" i="28"/>
  <c r="ES31" i="28"/>
  <c r="ER31" i="28"/>
  <c r="ET31" i="28"/>
  <c r="DN21" i="28"/>
  <c r="DW21" i="28"/>
  <c r="BC68" i="28"/>
  <c r="C68" i="32"/>
  <c r="H68" i="32"/>
  <c r="AW69" i="28"/>
  <c r="AY69" i="28"/>
  <c r="BA69" i="28"/>
  <c r="BB69" i="28"/>
  <c r="DZ21" i="28"/>
  <c r="EI21" i="28"/>
  <c r="AT71" i="28"/>
  <c r="AV71" i="28"/>
  <c r="AX70" i="28"/>
  <c r="AZ70" i="28"/>
  <c r="BE70" i="28"/>
  <c r="DF70" i="28"/>
  <c r="AU70" i="28"/>
  <c r="BU51" i="28"/>
  <c r="BW51" i="28"/>
  <c r="BY51" i="28"/>
  <c r="BZ51" i="28"/>
  <c r="BO30" i="28"/>
  <c r="D30" i="32"/>
  <c r="I30" i="32"/>
  <c r="DB34" i="28"/>
  <c r="DK34" i="28"/>
  <c r="EQ32" i="28"/>
  <c r="EL33" i="28"/>
  <c r="EM32" i="28"/>
  <c r="EP32" i="28"/>
  <c r="EN32" i="28"/>
  <c r="BR53" i="28"/>
  <c r="BT53" i="28"/>
  <c r="BS52" i="28"/>
  <c r="BV52" i="28"/>
  <c r="BX52" i="28"/>
  <c r="CC52" i="28"/>
  <c r="ED52" i="28"/>
  <c r="BI31" i="28"/>
  <c r="BK31" i="28"/>
  <c r="BM31" i="28"/>
  <c r="BN31" i="28"/>
  <c r="CA50" i="28"/>
  <c r="E50" i="32"/>
  <c r="J50" i="32"/>
  <c r="BF33" i="28"/>
  <c r="BH33" i="28"/>
  <c r="BG32" i="28"/>
  <c r="BJ32" i="28"/>
  <c r="BL32" i="28"/>
  <c r="BQ32" i="28"/>
  <c r="DR32" i="28"/>
  <c r="R32" i="31"/>
  <c r="DJ33" i="28"/>
  <c r="C33" i="31"/>
  <c r="H33" i="31"/>
  <c r="EH20" i="28"/>
  <c r="E20" i="31"/>
  <c r="J20" i="31"/>
  <c r="DV20" i="28"/>
  <c r="D20" i="31"/>
  <c r="I20" i="31"/>
  <c r="EA21" i="28"/>
  <c r="P21" i="31"/>
  <c r="EG21" i="28"/>
  <c r="EF21" i="28"/>
  <c r="DC34" i="28"/>
  <c r="N34" i="31"/>
  <c r="DI34" i="28"/>
  <c r="DH34" i="28"/>
  <c r="DO21" i="28"/>
  <c r="O21" i="31"/>
  <c r="DU21" i="28"/>
  <c r="DT21" i="28"/>
  <c r="EC50" i="28"/>
  <c r="DG70" i="28"/>
  <c r="DE68" i="28"/>
  <c r="EE52" i="28"/>
  <c r="DS32" i="28"/>
  <c r="DQ30" i="28"/>
  <c r="F51" i="30"/>
  <c r="J51" i="30"/>
  <c r="CB51" i="28"/>
  <c r="EB51" i="28"/>
  <c r="D69" i="30"/>
  <c r="H69" i="30"/>
  <c r="BD69" i="28"/>
  <c r="DD69" i="28"/>
  <c r="E31" i="30"/>
  <c r="I31" i="30"/>
  <c r="BP31" i="28"/>
  <c r="DP31" i="28"/>
  <c r="F52" i="29"/>
  <c r="J52" i="29"/>
  <c r="EU31" i="28"/>
  <c r="E32" i="29"/>
  <c r="I32" i="29"/>
  <c r="D70" i="29"/>
  <c r="H70" i="29"/>
  <c r="AW70" i="28"/>
  <c r="AY70" i="28"/>
  <c r="BA70" i="28"/>
  <c r="BB70" i="28"/>
  <c r="DZ22" i="28"/>
  <c r="EI22" i="28"/>
  <c r="DN22" i="28"/>
  <c r="DW22" i="28"/>
  <c r="ER32" i="28"/>
  <c r="ET32" i="28"/>
  <c r="AT72" i="28"/>
  <c r="AV72" i="28"/>
  <c r="AU71" i="28"/>
  <c r="AX71" i="28"/>
  <c r="AZ71" i="28"/>
  <c r="BE71" i="28"/>
  <c r="DF71" i="28"/>
  <c r="BC69" i="28"/>
  <c r="C69" i="32"/>
  <c r="H69" i="32"/>
  <c r="EQ33" i="28"/>
  <c r="EL34" i="28"/>
  <c r="EM33" i="28"/>
  <c r="EN33" i="28"/>
  <c r="EP33" i="28"/>
  <c r="BI32" i="28"/>
  <c r="BK32" i="28"/>
  <c r="BM32" i="28"/>
  <c r="BN32" i="28"/>
  <c r="BU52" i="28"/>
  <c r="BW52" i="28"/>
  <c r="BY52" i="28"/>
  <c r="BZ52" i="28"/>
  <c r="CA51" i="28"/>
  <c r="E51" i="32"/>
  <c r="J51" i="32"/>
  <c r="BO31" i="28"/>
  <c r="D31" i="32"/>
  <c r="I31" i="32"/>
  <c r="BR54" i="28"/>
  <c r="BT54" i="28"/>
  <c r="BV53" i="28"/>
  <c r="BX53" i="28"/>
  <c r="CC53" i="28"/>
  <c r="ED53" i="28"/>
  <c r="BS53" i="28"/>
  <c r="DB35" i="28"/>
  <c r="DK35" i="28"/>
  <c r="BF34" i="28"/>
  <c r="BH34" i="28"/>
  <c r="BJ33" i="28"/>
  <c r="BL33" i="28"/>
  <c r="BQ33" i="28"/>
  <c r="DR33" i="28"/>
  <c r="BG33" i="28"/>
  <c r="EO32" i="28"/>
  <c r="ES32" i="28"/>
  <c r="R33" i="31"/>
  <c r="EH21" i="28"/>
  <c r="E21" i="31"/>
  <c r="J21" i="31"/>
  <c r="EA22" i="28"/>
  <c r="P22" i="31"/>
  <c r="EG22" i="28"/>
  <c r="EF22" i="28"/>
  <c r="DV21" i="28"/>
  <c r="D21" i="31"/>
  <c r="I21" i="31"/>
  <c r="DC35" i="28"/>
  <c r="N35" i="31"/>
  <c r="DI35" i="28"/>
  <c r="DH35" i="28"/>
  <c r="DO22" i="28"/>
  <c r="O22" i="31"/>
  <c r="DU22" i="28"/>
  <c r="DT22" i="28"/>
  <c r="DJ34" i="28"/>
  <c r="C34" i="31"/>
  <c r="H34" i="31"/>
  <c r="DE69" i="28"/>
  <c r="EC51" i="28"/>
  <c r="DG71" i="28"/>
  <c r="DQ31" i="28"/>
  <c r="DS33" i="28"/>
  <c r="EE53" i="28"/>
  <c r="F52" i="30"/>
  <c r="J52" i="30"/>
  <c r="CB52" i="28"/>
  <c r="EB52" i="28"/>
  <c r="D70" i="30"/>
  <c r="H70" i="30"/>
  <c r="BD70" i="28"/>
  <c r="DD70" i="28"/>
  <c r="E32" i="30"/>
  <c r="I32" i="30"/>
  <c r="BP32" i="28"/>
  <c r="DP32" i="28"/>
  <c r="EU32" i="28"/>
  <c r="E33" i="29"/>
  <c r="I33" i="29"/>
  <c r="EO33" i="28"/>
  <c r="ES33" i="28"/>
  <c r="F53" i="29"/>
  <c r="J53" i="29"/>
  <c r="D71" i="29"/>
  <c r="H71" i="29"/>
  <c r="ER33" i="28"/>
  <c r="ET33" i="28"/>
  <c r="AW71" i="28"/>
  <c r="AY71" i="28"/>
  <c r="BA71" i="28"/>
  <c r="BB71" i="28"/>
  <c r="AT73" i="28"/>
  <c r="AV73" i="28"/>
  <c r="AU72" i="28"/>
  <c r="AX72" i="28"/>
  <c r="AZ72" i="28"/>
  <c r="BE72" i="28"/>
  <c r="DF72" i="28"/>
  <c r="DN23" i="28"/>
  <c r="DW23" i="28"/>
  <c r="DZ23" i="28"/>
  <c r="EI23" i="28"/>
  <c r="BC70" i="28"/>
  <c r="C70" i="32"/>
  <c r="H70" i="32"/>
  <c r="BF35" i="28"/>
  <c r="BH35" i="28"/>
  <c r="BG34" i="28"/>
  <c r="BJ34" i="28"/>
  <c r="BL34" i="28"/>
  <c r="BQ34" i="28"/>
  <c r="DR34" i="28"/>
  <c r="CA52" i="28"/>
  <c r="E52" i="32"/>
  <c r="J52" i="32"/>
  <c r="EQ34" i="28"/>
  <c r="EL35" i="28"/>
  <c r="EP34" i="28"/>
  <c r="EM34" i="28"/>
  <c r="EN34" i="28"/>
  <c r="BU53" i="28"/>
  <c r="BW53" i="28"/>
  <c r="BY53" i="28"/>
  <c r="BZ53" i="28"/>
  <c r="BR55" i="28"/>
  <c r="BT55" i="28"/>
  <c r="BS54" i="28"/>
  <c r="BV54" i="28"/>
  <c r="BX54" i="28"/>
  <c r="CC54" i="28"/>
  <c r="ED54" i="28"/>
  <c r="BI33" i="28"/>
  <c r="BK33" i="28"/>
  <c r="BM33" i="28"/>
  <c r="BN33" i="28"/>
  <c r="DB36" i="28"/>
  <c r="DK36" i="28"/>
  <c r="BO32" i="28"/>
  <c r="D32" i="32"/>
  <c r="I32" i="32"/>
  <c r="R34" i="31"/>
  <c r="EH22" i="28"/>
  <c r="E22" i="31"/>
  <c r="J22" i="31"/>
  <c r="DV22" i="28"/>
  <c r="D22" i="31"/>
  <c r="I22" i="31"/>
  <c r="DC36" i="28"/>
  <c r="N36" i="31"/>
  <c r="DI36" i="28"/>
  <c r="DH36" i="28"/>
  <c r="DO23" i="28"/>
  <c r="O23" i="31"/>
  <c r="DU23" i="28"/>
  <c r="DT23" i="28"/>
  <c r="EA23" i="28"/>
  <c r="P23" i="31"/>
  <c r="EG23" i="28"/>
  <c r="EF23" i="28"/>
  <c r="DJ35" i="28"/>
  <c r="C35" i="31"/>
  <c r="H35" i="31"/>
  <c r="DG72" i="28"/>
  <c r="DE70" i="28"/>
  <c r="EC52" i="28"/>
  <c r="DS34" i="28"/>
  <c r="EE54" i="28"/>
  <c r="DQ32" i="28"/>
  <c r="F53" i="30"/>
  <c r="J53" i="30"/>
  <c r="CB53" i="28"/>
  <c r="EB53" i="28"/>
  <c r="D71" i="30"/>
  <c r="H71" i="30"/>
  <c r="BD71" i="28"/>
  <c r="DD71" i="28"/>
  <c r="E33" i="30"/>
  <c r="I33" i="30"/>
  <c r="BP33" i="28"/>
  <c r="DP33" i="28"/>
  <c r="E34" i="29"/>
  <c r="I34" i="29"/>
  <c r="F54" i="29"/>
  <c r="J54" i="29"/>
  <c r="D72" i="29"/>
  <c r="H72" i="29"/>
  <c r="EU33" i="28"/>
  <c r="ER34" i="28"/>
  <c r="ET34" i="28"/>
  <c r="DN24" i="28"/>
  <c r="DW24" i="28"/>
  <c r="AW72" i="28"/>
  <c r="AY72" i="28"/>
  <c r="BA72" i="28"/>
  <c r="BB72" i="28"/>
  <c r="AT74" i="28"/>
  <c r="AV74" i="28"/>
  <c r="AX73" i="28"/>
  <c r="AZ73" i="28"/>
  <c r="BE73" i="28"/>
  <c r="DF73" i="28"/>
  <c r="AU73" i="28"/>
  <c r="DZ24" i="28"/>
  <c r="EI24" i="28"/>
  <c r="BC71" i="28"/>
  <c r="C71" i="32"/>
  <c r="H71" i="32"/>
  <c r="DB37" i="28"/>
  <c r="DK37" i="28"/>
  <c r="EQ35" i="28"/>
  <c r="EL36" i="28"/>
  <c r="EP35" i="28"/>
  <c r="EN35" i="28"/>
  <c r="EM35" i="28"/>
  <c r="BO33" i="28"/>
  <c r="D33" i="32"/>
  <c r="I33" i="32"/>
  <c r="BU54" i="28"/>
  <c r="BW54" i="28"/>
  <c r="BY54" i="28"/>
  <c r="BZ54" i="28"/>
  <c r="BR56" i="28"/>
  <c r="BT56" i="28"/>
  <c r="BV55" i="28"/>
  <c r="BX55" i="28"/>
  <c r="CC55" i="28"/>
  <c r="ED55" i="28"/>
  <c r="BS55" i="28"/>
  <c r="CA53" i="28"/>
  <c r="E53" i="32"/>
  <c r="J53" i="32"/>
  <c r="EO34" i="28"/>
  <c r="ES34" i="28"/>
  <c r="BI34" i="28"/>
  <c r="BK34" i="28"/>
  <c r="BM34" i="28"/>
  <c r="BN34" i="28"/>
  <c r="BF36" i="28"/>
  <c r="BH36" i="28"/>
  <c r="BG35" i="28"/>
  <c r="BJ35" i="28"/>
  <c r="BL35" i="28"/>
  <c r="BQ35" i="28"/>
  <c r="DR35" i="28"/>
  <c r="R35" i="31"/>
  <c r="DJ36" i="28"/>
  <c r="C36" i="31"/>
  <c r="H36" i="31"/>
  <c r="EH23" i="28"/>
  <c r="E23" i="31"/>
  <c r="J23" i="31"/>
  <c r="DV23" i="28"/>
  <c r="D23" i="31"/>
  <c r="I23" i="31"/>
  <c r="EA24" i="28"/>
  <c r="P24" i="31"/>
  <c r="EG24" i="28"/>
  <c r="EF24" i="28"/>
  <c r="DC37" i="28"/>
  <c r="N37" i="31"/>
  <c r="DI37" i="28"/>
  <c r="DH37" i="28"/>
  <c r="DO24" i="28"/>
  <c r="O24" i="31"/>
  <c r="DU24" i="28"/>
  <c r="DT24" i="28"/>
  <c r="DS35" i="28"/>
  <c r="EE55" i="28"/>
  <c r="DQ33" i="28"/>
  <c r="DG73" i="28"/>
  <c r="EC53" i="28"/>
  <c r="DE71" i="28"/>
  <c r="F54" i="30"/>
  <c r="J54" i="30"/>
  <c r="CB54" i="28"/>
  <c r="EB54" i="28"/>
  <c r="E34" i="30"/>
  <c r="I34" i="30"/>
  <c r="BP34" i="28"/>
  <c r="DP34" i="28"/>
  <c r="D72" i="30"/>
  <c r="H72" i="30"/>
  <c r="BD72" i="28"/>
  <c r="DD72" i="28"/>
  <c r="D73" i="29"/>
  <c r="H73" i="29"/>
  <c r="F55" i="29"/>
  <c r="J55" i="29"/>
  <c r="EU34" i="28"/>
  <c r="E35" i="29"/>
  <c r="I35" i="29"/>
  <c r="ER35" i="28"/>
  <c r="ET35" i="28"/>
  <c r="AW73" i="28"/>
  <c r="AY73" i="28"/>
  <c r="BA73" i="28"/>
  <c r="BB73" i="28"/>
  <c r="BC72" i="28"/>
  <c r="C72" i="32"/>
  <c r="H72" i="32"/>
  <c r="DN25" i="28"/>
  <c r="DW25" i="28"/>
  <c r="DZ25" i="28"/>
  <c r="EI25" i="28"/>
  <c r="AT75" i="28"/>
  <c r="AV75" i="28"/>
  <c r="AU74" i="28"/>
  <c r="AX74" i="28"/>
  <c r="AZ74" i="28"/>
  <c r="BE74" i="28"/>
  <c r="DF74" i="28"/>
  <c r="BF37" i="28"/>
  <c r="BH37" i="28"/>
  <c r="BG36" i="28"/>
  <c r="BJ36" i="28"/>
  <c r="BL36" i="28"/>
  <c r="BQ36" i="28"/>
  <c r="DR36" i="28"/>
  <c r="BU55" i="28"/>
  <c r="BW55" i="28"/>
  <c r="BY55" i="28"/>
  <c r="BZ55" i="28"/>
  <c r="DB38" i="28"/>
  <c r="DK38" i="28"/>
  <c r="CA54" i="28"/>
  <c r="E54" i="32"/>
  <c r="J54" i="32"/>
  <c r="EL37" i="28"/>
  <c r="EM36" i="28"/>
  <c r="EN36" i="28"/>
  <c r="EP36" i="28"/>
  <c r="EQ36" i="28"/>
  <c r="BO34" i="28"/>
  <c r="D34" i="32"/>
  <c r="I34" i="32"/>
  <c r="BR57" i="28"/>
  <c r="BT57" i="28"/>
  <c r="BS56" i="28"/>
  <c r="BV56" i="28"/>
  <c r="BX56" i="28"/>
  <c r="CC56" i="28"/>
  <c r="ED56" i="28"/>
  <c r="EO35" i="28"/>
  <c r="ES35" i="28"/>
  <c r="BI35" i="28"/>
  <c r="BK35" i="28"/>
  <c r="BM35" i="28"/>
  <c r="BN35" i="28"/>
  <c r="R36" i="31"/>
  <c r="EH24" i="28"/>
  <c r="E24" i="31"/>
  <c r="J24" i="31"/>
  <c r="DJ37" i="28"/>
  <c r="C37" i="31"/>
  <c r="H37" i="31"/>
  <c r="DV24" i="28"/>
  <c r="D24" i="31"/>
  <c r="I24" i="31"/>
  <c r="DC38" i="28"/>
  <c r="N38" i="31"/>
  <c r="DI38" i="28"/>
  <c r="DH38" i="28"/>
  <c r="EA25" i="28"/>
  <c r="P25" i="31"/>
  <c r="EG25" i="28"/>
  <c r="EF25" i="28"/>
  <c r="DO25" i="28"/>
  <c r="O25" i="31"/>
  <c r="DU25" i="28"/>
  <c r="DT25" i="28"/>
  <c r="DS36" i="28"/>
  <c r="DQ34" i="28"/>
  <c r="EC54" i="28"/>
  <c r="EE56" i="28"/>
  <c r="DE72" i="28"/>
  <c r="DG74" i="28"/>
  <c r="F55" i="30"/>
  <c r="J55" i="30"/>
  <c r="CB55" i="28"/>
  <c r="EB55" i="28"/>
  <c r="E35" i="30"/>
  <c r="I35" i="30"/>
  <c r="BP35" i="28"/>
  <c r="DP35" i="28"/>
  <c r="D73" i="30"/>
  <c r="H73" i="30"/>
  <c r="BD73" i="28"/>
  <c r="DD73" i="28"/>
  <c r="EU35" i="28"/>
  <c r="F56" i="29"/>
  <c r="J56" i="29"/>
  <c r="E36" i="29"/>
  <c r="I36" i="29"/>
  <c r="D74" i="29"/>
  <c r="H74" i="29"/>
  <c r="BC73" i="28"/>
  <c r="C73" i="32"/>
  <c r="H73" i="32"/>
  <c r="ER36" i="28"/>
  <c r="ET36" i="28"/>
  <c r="AW74" i="28"/>
  <c r="AY74" i="28"/>
  <c r="BA74" i="28"/>
  <c r="BB74" i="28"/>
  <c r="DN26" i="28"/>
  <c r="DW26" i="28"/>
  <c r="AT76" i="28"/>
  <c r="AV76" i="28"/>
  <c r="AU75" i="28"/>
  <c r="AX75" i="28"/>
  <c r="AZ75" i="28"/>
  <c r="BE75" i="28"/>
  <c r="DF75" i="28"/>
  <c r="DZ26" i="28"/>
  <c r="EI26" i="28"/>
  <c r="CA55" i="28"/>
  <c r="E55" i="32"/>
  <c r="J55" i="32"/>
  <c r="BR58" i="28"/>
  <c r="BT58" i="28"/>
  <c r="BV57" i="28"/>
  <c r="BX57" i="28"/>
  <c r="CC57" i="28"/>
  <c r="ED57" i="28"/>
  <c r="BS57" i="28"/>
  <c r="BO35" i="28"/>
  <c r="D35" i="32"/>
  <c r="I35" i="32"/>
  <c r="EO36" i="28"/>
  <c r="ES36" i="28"/>
  <c r="BI36" i="28"/>
  <c r="BK36" i="28"/>
  <c r="BM36" i="28"/>
  <c r="BN36" i="28"/>
  <c r="BU56" i="28"/>
  <c r="BW56" i="28"/>
  <c r="BY56" i="28"/>
  <c r="BZ56" i="28"/>
  <c r="EL38" i="28"/>
  <c r="EQ37" i="28"/>
  <c r="EP37" i="28"/>
  <c r="EM37" i="28"/>
  <c r="EN37" i="28"/>
  <c r="DB39" i="28"/>
  <c r="DK39" i="28"/>
  <c r="BF38" i="28"/>
  <c r="BH38" i="28"/>
  <c r="BG37" i="28"/>
  <c r="BJ37" i="28"/>
  <c r="BL37" i="28"/>
  <c r="BQ37" i="28"/>
  <c r="DR37" i="28"/>
  <c r="R37" i="31"/>
  <c r="EH25" i="28"/>
  <c r="E25" i="31"/>
  <c r="J25" i="31"/>
  <c r="DV25" i="28"/>
  <c r="D25" i="31"/>
  <c r="I25" i="31"/>
  <c r="DJ38" i="28"/>
  <c r="C38" i="31"/>
  <c r="H38" i="31"/>
  <c r="DO26" i="28"/>
  <c r="O26" i="31"/>
  <c r="DU26" i="28"/>
  <c r="DT26" i="28"/>
  <c r="EA26" i="28"/>
  <c r="P26" i="31"/>
  <c r="EG26" i="28"/>
  <c r="EF26" i="28"/>
  <c r="DC39" i="28"/>
  <c r="N39" i="31"/>
  <c r="DI39" i="28"/>
  <c r="DH39" i="28"/>
  <c r="DQ35" i="28"/>
  <c r="EE57" i="28"/>
  <c r="EC55" i="28"/>
  <c r="DS37" i="28"/>
  <c r="DE73" i="28"/>
  <c r="DG75" i="28"/>
  <c r="F56" i="30"/>
  <c r="J56" i="30"/>
  <c r="CB56" i="28"/>
  <c r="EB56" i="28"/>
  <c r="D74" i="30"/>
  <c r="H74" i="30"/>
  <c r="BD74" i="28"/>
  <c r="DD74" i="28"/>
  <c r="E36" i="30"/>
  <c r="I36" i="30"/>
  <c r="BP36" i="28"/>
  <c r="DP36" i="28"/>
  <c r="ER37" i="28"/>
  <c r="ET37" i="28"/>
  <c r="EU36" i="28"/>
  <c r="D75" i="29"/>
  <c r="H75" i="29"/>
  <c r="E37" i="29"/>
  <c r="I37" i="29"/>
  <c r="F57" i="29"/>
  <c r="J57" i="29"/>
  <c r="EO37" i="28"/>
  <c r="ES37" i="28"/>
  <c r="AW75" i="28"/>
  <c r="AY75" i="28"/>
  <c r="BA75" i="28"/>
  <c r="BB75" i="28"/>
  <c r="BC74" i="28"/>
  <c r="C74" i="32"/>
  <c r="H74" i="32"/>
  <c r="DZ27" i="28"/>
  <c r="EI27" i="28"/>
  <c r="AT77" i="28"/>
  <c r="AV77" i="28"/>
  <c r="AU76" i="28"/>
  <c r="AX76" i="28"/>
  <c r="AZ76" i="28"/>
  <c r="BE76" i="28"/>
  <c r="DF76" i="28"/>
  <c r="DN27" i="28"/>
  <c r="DW27" i="28"/>
  <c r="EL39" i="28"/>
  <c r="EP38" i="28"/>
  <c r="EQ38" i="28"/>
  <c r="EM38" i="28"/>
  <c r="EN38" i="28"/>
  <c r="BR59" i="28"/>
  <c r="BT59" i="28"/>
  <c r="BV58" i="28"/>
  <c r="BX58" i="28"/>
  <c r="CC58" i="28"/>
  <c r="ED58" i="28"/>
  <c r="BS58" i="28"/>
  <c r="BO36" i="28"/>
  <c r="D36" i="32"/>
  <c r="I36" i="32"/>
  <c r="DB40" i="28"/>
  <c r="DK40" i="28"/>
  <c r="BF39" i="28"/>
  <c r="BH39" i="28"/>
  <c r="BJ38" i="28"/>
  <c r="BL38" i="28"/>
  <c r="BQ38" i="28"/>
  <c r="DR38" i="28"/>
  <c r="BG38" i="28"/>
  <c r="BI37" i="28"/>
  <c r="BK37" i="28"/>
  <c r="BM37" i="28"/>
  <c r="BN37" i="28"/>
  <c r="CA56" i="28"/>
  <c r="E56" i="32"/>
  <c r="J56" i="32"/>
  <c r="BU57" i="28"/>
  <c r="BW57" i="28"/>
  <c r="BY57" i="28"/>
  <c r="BZ57" i="28"/>
  <c r="R38" i="31"/>
  <c r="DV26" i="28"/>
  <c r="D26" i="31"/>
  <c r="I26" i="31"/>
  <c r="DJ39" i="28"/>
  <c r="C39" i="31"/>
  <c r="H39" i="31"/>
  <c r="DO27" i="28"/>
  <c r="O27" i="31"/>
  <c r="DU27" i="28"/>
  <c r="DT27" i="28"/>
  <c r="EA27" i="28"/>
  <c r="P27" i="31"/>
  <c r="EG27" i="28"/>
  <c r="EF27" i="28"/>
  <c r="DC40" i="28"/>
  <c r="N40" i="31"/>
  <c r="DI40" i="28"/>
  <c r="DH40" i="28"/>
  <c r="EH26" i="28"/>
  <c r="E26" i="31"/>
  <c r="J26" i="31"/>
  <c r="DE74" i="28"/>
  <c r="EC56" i="28"/>
  <c r="EE58" i="28"/>
  <c r="DG76" i="28"/>
  <c r="DQ36" i="28"/>
  <c r="DS38" i="28"/>
  <c r="F57" i="30"/>
  <c r="J57" i="30"/>
  <c r="CB57" i="28"/>
  <c r="EB57" i="28"/>
  <c r="D75" i="30"/>
  <c r="H75" i="30"/>
  <c r="BD75" i="28"/>
  <c r="DD75" i="28"/>
  <c r="E37" i="30"/>
  <c r="I37" i="30"/>
  <c r="BP37" i="28"/>
  <c r="DP37" i="28"/>
  <c r="EU37" i="28"/>
  <c r="E38" i="29"/>
  <c r="I38" i="29"/>
  <c r="D76" i="29"/>
  <c r="H76" i="29"/>
  <c r="F58" i="29"/>
  <c r="J58" i="29"/>
  <c r="AW76" i="28"/>
  <c r="AY76" i="28"/>
  <c r="BA76" i="28"/>
  <c r="BB76" i="28"/>
  <c r="DZ28" i="28"/>
  <c r="EI28" i="28"/>
  <c r="BC75" i="28"/>
  <c r="C75" i="32"/>
  <c r="H75" i="32"/>
  <c r="AT78" i="28"/>
  <c r="AV78" i="28"/>
  <c r="AX77" i="28"/>
  <c r="AZ77" i="28"/>
  <c r="BE77" i="28"/>
  <c r="DF77" i="28"/>
  <c r="AU77" i="28"/>
  <c r="ER38" i="28"/>
  <c r="ET38" i="28"/>
  <c r="DN28" i="28"/>
  <c r="DW28" i="28"/>
  <c r="CA57" i="28"/>
  <c r="E57" i="32"/>
  <c r="J57" i="32"/>
  <c r="BF40" i="28"/>
  <c r="BH40" i="28"/>
  <c r="BJ39" i="28"/>
  <c r="BL39" i="28"/>
  <c r="BQ39" i="28"/>
  <c r="DR39" i="28"/>
  <c r="BG39" i="28"/>
  <c r="EP39" i="28"/>
  <c r="EL40" i="28"/>
  <c r="EQ39" i="28"/>
  <c r="EM39" i="28"/>
  <c r="EN39" i="28"/>
  <c r="DB41" i="28"/>
  <c r="DK41" i="28"/>
  <c r="BR60" i="28"/>
  <c r="BT60" i="28"/>
  <c r="BS59" i="28"/>
  <c r="BV59" i="28"/>
  <c r="BX59" i="28"/>
  <c r="CC59" i="28"/>
  <c r="ED59" i="28"/>
  <c r="BO37" i="28"/>
  <c r="D37" i="32"/>
  <c r="I37" i="32"/>
  <c r="BI38" i="28"/>
  <c r="BK38" i="28"/>
  <c r="BM38" i="28"/>
  <c r="BN38" i="28"/>
  <c r="EO38" i="28"/>
  <c r="ES38" i="28"/>
  <c r="BU58" i="28"/>
  <c r="BW58" i="28"/>
  <c r="BY58" i="28"/>
  <c r="BZ58" i="28"/>
  <c r="R39" i="31"/>
  <c r="DV27" i="28"/>
  <c r="D27" i="31"/>
  <c r="I27" i="31"/>
  <c r="EA28" i="28"/>
  <c r="P28" i="31"/>
  <c r="EG28" i="28"/>
  <c r="EF28" i="28"/>
  <c r="DJ40" i="28"/>
  <c r="C40" i="31"/>
  <c r="H40" i="31"/>
  <c r="DO28" i="28"/>
  <c r="O28" i="31"/>
  <c r="DU28" i="28"/>
  <c r="DT28" i="28"/>
  <c r="DC41" i="28"/>
  <c r="N41" i="31"/>
  <c r="DI41" i="28"/>
  <c r="DH41" i="28"/>
  <c r="EH27" i="28"/>
  <c r="E27" i="31"/>
  <c r="J27" i="31"/>
  <c r="DE75" i="28"/>
  <c r="EC57" i="28"/>
  <c r="EE59" i="28"/>
  <c r="DQ37" i="28"/>
  <c r="DS39" i="28"/>
  <c r="DG77" i="28"/>
  <c r="F58" i="30"/>
  <c r="J58" i="30"/>
  <c r="CB58" i="28"/>
  <c r="EB58" i="28"/>
  <c r="EU38" i="28"/>
  <c r="D76" i="30"/>
  <c r="H76" i="30"/>
  <c r="BD76" i="28"/>
  <c r="DD76" i="28"/>
  <c r="E38" i="30"/>
  <c r="I38" i="30"/>
  <c r="BP38" i="28"/>
  <c r="DP38" i="28"/>
  <c r="F59" i="29"/>
  <c r="J59" i="29"/>
  <c r="D77" i="29"/>
  <c r="H77" i="29"/>
  <c r="E39" i="29"/>
  <c r="I39" i="29"/>
  <c r="DZ29" i="28"/>
  <c r="EI29" i="28"/>
  <c r="BC76" i="28"/>
  <c r="C76" i="32"/>
  <c r="H76" i="32"/>
  <c r="DN29" i="28"/>
  <c r="DW29" i="28"/>
  <c r="AT79" i="28"/>
  <c r="AV79" i="28"/>
  <c r="AU78" i="28"/>
  <c r="AX78" i="28"/>
  <c r="AZ78" i="28"/>
  <c r="BE78" i="28"/>
  <c r="DF78" i="28"/>
  <c r="ER39" i="28"/>
  <c r="ET39" i="28"/>
  <c r="AW77" i="28"/>
  <c r="AY77" i="28"/>
  <c r="BA77" i="28"/>
  <c r="BB77" i="28"/>
  <c r="BR61" i="28"/>
  <c r="BT61" i="28"/>
  <c r="BS60" i="28"/>
  <c r="BV60" i="28"/>
  <c r="BX60" i="28"/>
  <c r="CC60" i="28"/>
  <c r="ED60" i="28"/>
  <c r="EL41" i="28"/>
  <c r="EP40" i="28"/>
  <c r="EM40" i="28"/>
  <c r="EQ40" i="28"/>
  <c r="EN40" i="28"/>
  <c r="BF41" i="28"/>
  <c r="BH41" i="28"/>
  <c r="BG40" i="28"/>
  <c r="BJ40" i="28"/>
  <c r="BL40" i="28"/>
  <c r="BQ40" i="28"/>
  <c r="DR40" i="28"/>
  <c r="BO38" i="28"/>
  <c r="D38" i="32"/>
  <c r="I38" i="32"/>
  <c r="EO39" i="28"/>
  <c r="ES39" i="28"/>
  <c r="CA58" i="28"/>
  <c r="E58" i="32"/>
  <c r="J58" i="32"/>
  <c r="BU59" i="28"/>
  <c r="BW59" i="28"/>
  <c r="BY59" i="28"/>
  <c r="BZ59" i="28"/>
  <c r="DB42" i="28"/>
  <c r="DK42" i="28"/>
  <c r="BI39" i="28"/>
  <c r="BK39" i="28"/>
  <c r="BM39" i="28"/>
  <c r="BN39" i="28"/>
  <c r="R40" i="31"/>
  <c r="EH28" i="28"/>
  <c r="E28" i="31"/>
  <c r="J28" i="31"/>
  <c r="DO29" i="28"/>
  <c r="O29" i="31"/>
  <c r="DU29" i="28"/>
  <c r="DT29" i="28"/>
  <c r="EA29" i="28"/>
  <c r="P29" i="31"/>
  <c r="EG29" i="28"/>
  <c r="EF29" i="28"/>
  <c r="DJ41" i="28"/>
  <c r="C41" i="31"/>
  <c r="H41" i="31"/>
  <c r="DC42" i="28"/>
  <c r="N42" i="31"/>
  <c r="DI42" i="28"/>
  <c r="DH42" i="28"/>
  <c r="DV28" i="28"/>
  <c r="D28" i="31"/>
  <c r="I28" i="31"/>
  <c r="DG78" i="28"/>
  <c r="EC58" i="28"/>
  <c r="DS40" i="28"/>
  <c r="EE60" i="28"/>
  <c r="DQ38" i="28"/>
  <c r="DE76" i="28"/>
  <c r="F59" i="30"/>
  <c r="J59" i="30"/>
  <c r="CB59" i="28"/>
  <c r="EB59" i="28"/>
  <c r="D77" i="30"/>
  <c r="H77" i="30"/>
  <c r="BD77" i="28"/>
  <c r="DD77" i="28"/>
  <c r="E39" i="30"/>
  <c r="I39" i="30"/>
  <c r="BP39" i="28"/>
  <c r="DP39" i="28"/>
  <c r="EU39" i="28"/>
  <c r="E40" i="29"/>
  <c r="I40" i="29"/>
  <c r="F60" i="29"/>
  <c r="J60" i="29"/>
  <c r="D78" i="29"/>
  <c r="H78" i="29"/>
  <c r="ER40" i="28"/>
  <c r="ET40" i="28"/>
  <c r="DN30" i="28"/>
  <c r="DW30" i="28"/>
  <c r="DZ30" i="28"/>
  <c r="EI30" i="28"/>
  <c r="AW78" i="28"/>
  <c r="AY78" i="28"/>
  <c r="BA78" i="28"/>
  <c r="BB78" i="28"/>
  <c r="BC77" i="28"/>
  <c r="C77" i="32"/>
  <c r="H77" i="32"/>
  <c r="AT80" i="28"/>
  <c r="AV80" i="28"/>
  <c r="AX79" i="28"/>
  <c r="AZ79" i="28"/>
  <c r="BE79" i="28"/>
  <c r="DF79" i="28"/>
  <c r="AU79" i="28"/>
  <c r="EO40" i="28"/>
  <c r="ES40" i="28"/>
  <c r="CA59" i="28"/>
  <c r="E59" i="32"/>
  <c r="J59" i="32"/>
  <c r="BI40" i="28"/>
  <c r="BK40" i="28"/>
  <c r="BM40" i="28"/>
  <c r="BN40" i="28"/>
  <c r="EL42" i="28"/>
  <c r="EP41" i="28"/>
  <c r="EM41" i="28"/>
  <c r="EN41" i="28"/>
  <c r="EQ41" i="28"/>
  <c r="BU60" i="28"/>
  <c r="BW60" i="28"/>
  <c r="BY60" i="28"/>
  <c r="BZ60" i="28"/>
  <c r="BO39" i="28"/>
  <c r="D39" i="32"/>
  <c r="I39" i="32"/>
  <c r="DB43" i="28"/>
  <c r="DK43" i="28"/>
  <c r="BF42" i="28"/>
  <c r="BH42" i="28"/>
  <c r="BJ41" i="28"/>
  <c r="BL41" i="28"/>
  <c r="BQ41" i="28"/>
  <c r="DR41" i="28"/>
  <c r="BG41" i="28"/>
  <c r="BR62" i="28"/>
  <c r="BT62" i="28"/>
  <c r="BV61" i="28"/>
  <c r="BX61" i="28"/>
  <c r="CC61" i="28"/>
  <c r="ED61" i="28"/>
  <c r="BS61" i="28"/>
  <c r="R41" i="31"/>
  <c r="EU40" i="28"/>
  <c r="EH29" i="28"/>
  <c r="E29" i="31"/>
  <c r="J29" i="31"/>
  <c r="DV29" i="28"/>
  <c r="D29" i="31"/>
  <c r="I29" i="31"/>
  <c r="DJ42" i="28"/>
  <c r="C42" i="31"/>
  <c r="H42" i="31"/>
  <c r="DI43" i="28"/>
  <c r="DC43" i="28"/>
  <c r="N43" i="31"/>
  <c r="DH43" i="28"/>
  <c r="EA30" i="28"/>
  <c r="P30" i="31"/>
  <c r="EG30" i="28"/>
  <c r="EF30" i="28"/>
  <c r="DO30" i="28"/>
  <c r="O30" i="31"/>
  <c r="DU30" i="28"/>
  <c r="DT30" i="28"/>
  <c r="EC59" i="28"/>
  <c r="DG79" i="28"/>
  <c r="DQ39" i="28"/>
  <c r="DS41" i="28"/>
  <c r="EE61" i="28"/>
  <c r="DE77" i="28"/>
  <c r="F60" i="30"/>
  <c r="J60" i="30"/>
  <c r="CB60" i="28"/>
  <c r="EB60" i="28"/>
  <c r="E40" i="30"/>
  <c r="I40" i="30"/>
  <c r="BP40" i="28"/>
  <c r="DP40" i="28"/>
  <c r="D78" i="30"/>
  <c r="H78" i="30"/>
  <c r="BD78" i="28"/>
  <c r="DD78" i="28"/>
  <c r="D79" i="29"/>
  <c r="H79" i="29"/>
  <c r="F61" i="29"/>
  <c r="J61" i="29"/>
  <c r="E41" i="29"/>
  <c r="I41" i="29"/>
  <c r="ER41" i="28"/>
  <c r="ET41" i="28"/>
  <c r="AW79" i="28"/>
  <c r="AY79" i="28"/>
  <c r="BA79" i="28"/>
  <c r="BB79" i="28"/>
  <c r="BC78" i="28"/>
  <c r="C78" i="32"/>
  <c r="H78" i="32"/>
  <c r="DZ31" i="28"/>
  <c r="EI31" i="28"/>
  <c r="DN31" i="28"/>
  <c r="DW31" i="28"/>
  <c r="AT81" i="28"/>
  <c r="AV81" i="28"/>
  <c r="AX80" i="28"/>
  <c r="AZ80" i="28"/>
  <c r="BE80" i="28"/>
  <c r="DF80" i="28"/>
  <c r="AU80" i="28"/>
  <c r="BI41" i="28"/>
  <c r="BK41" i="28"/>
  <c r="BM41" i="28"/>
  <c r="BN41" i="28"/>
  <c r="DB44" i="28"/>
  <c r="DK44" i="28"/>
  <c r="BO40" i="28"/>
  <c r="D40" i="32"/>
  <c r="I40" i="32"/>
  <c r="CA60" i="28"/>
  <c r="E60" i="32"/>
  <c r="J60" i="32"/>
  <c r="EO41" i="28"/>
  <c r="ES41" i="28"/>
  <c r="BF43" i="28"/>
  <c r="BH43" i="28"/>
  <c r="BJ42" i="28"/>
  <c r="BL42" i="28"/>
  <c r="BQ42" i="28"/>
  <c r="DR42" i="28"/>
  <c r="BG42" i="28"/>
  <c r="BU61" i="28"/>
  <c r="BW61" i="28"/>
  <c r="BY61" i="28"/>
  <c r="BZ61" i="28"/>
  <c r="BR63" i="28"/>
  <c r="BT63" i="28"/>
  <c r="BV62" i="28"/>
  <c r="BX62" i="28"/>
  <c r="CC62" i="28"/>
  <c r="ED62" i="28"/>
  <c r="BS62" i="28"/>
  <c r="EL43" i="28"/>
  <c r="EP42" i="28"/>
  <c r="EQ42" i="28"/>
  <c r="EN42" i="28"/>
  <c r="EM42" i="28"/>
  <c r="R42" i="31"/>
  <c r="DV30" i="28"/>
  <c r="D30" i="31"/>
  <c r="I30" i="31"/>
  <c r="DJ43" i="28"/>
  <c r="C43" i="31"/>
  <c r="H43" i="31"/>
  <c r="EA31" i="28"/>
  <c r="P31" i="31"/>
  <c r="EG31" i="28"/>
  <c r="EF31" i="28"/>
  <c r="DC44" i="28"/>
  <c r="N44" i="31"/>
  <c r="DI44" i="28"/>
  <c r="DH44" i="28"/>
  <c r="DO31" i="28"/>
  <c r="O31" i="31"/>
  <c r="DU31" i="28"/>
  <c r="DT31" i="28"/>
  <c r="EH30" i="28"/>
  <c r="E30" i="31"/>
  <c r="J30" i="31"/>
  <c r="EC60" i="28"/>
  <c r="DG80" i="28"/>
  <c r="DE78" i="28"/>
  <c r="DS42" i="28"/>
  <c r="EE62" i="28"/>
  <c r="DQ40" i="28"/>
  <c r="F61" i="30"/>
  <c r="J61" i="30"/>
  <c r="CB61" i="28"/>
  <c r="EB61" i="28"/>
  <c r="E41" i="30"/>
  <c r="I41" i="30"/>
  <c r="BP41" i="28"/>
  <c r="DP41" i="28"/>
  <c r="D79" i="30"/>
  <c r="H79" i="30"/>
  <c r="BD79" i="28"/>
  <c r="DD79" i="28"/>
  <c r="F62" i="29"/>
  <c r="J62" i="29"/>
  <c r="EU41" i="28"/>
  <c r="E42" i="29"/>
  <c r="I42" i="29"/>
  <c r="D80" i="29"/>
  <c r="H80" i="29"/>
  <c r="ER42" i="28"/>
  <c r="ET42" i="28"/>
  <c r="EO42" i="28"/>
  <c r="ES42" i="28"/>
  <c r="AW80" i="28"/>
  <c r="AY80" i="28"/>
  <c r="BA80" i="28"/>
  <c r="BB80" i="28"/>
  <c r="DN32" i="28"/>
  <c r="DW32" i="28"/>
  <c r="BC79" i="28"/>
  <c r="C79" i="32"/>
  <c r="H79" i="32"/>
  <c r="AT82" i="28"/>
  <c r="AV82" i="28"/>
  <c r="AX81" i="28"/>
  <c r="AZ81" i="28"/>
  <c r="BE81" i="28"/>
  <c r="DF81" i="28"/>
  <c r="AU81" i="28"/>
  <c r="DZ32" i="28"/>
  <c r="EI32" i="28"/>
  <c r="BU62" i="28"/>
  <c r="BW62" i="28"/>
  <c r="BY62" i="28"/>
  <c r="BZ62" i="28"/>
  <c r="CA61" i="28"/>
  <c r="E61" i="32"/>
  <c r="J61" i="32"/>
  <c r="BI42" i="28"/>
  <c r="BK42" i="28"/>
  <c r="BM42" i="28"/>
  <c r="BN42" i="28"/>
  <c r="BF44" i="28"/>
  <c r="BH44" i="28"/>
  <c r="BJ43" i="28"/>
  <c r="BL43" i="28"/>
  <c r="BQ43" i="28"/>
  <c r="DR43" i="28"/>
  <c r="BG43" i="28"/>
  <c r="BO41" i="28"/>
  <c r="D41" i="32"/>
  <c r="I41" i="32"/>
  <c r="EL44" i="28"/>
  <c r="EP43" i="28"/>
  <c r="EQ43" i="28"/>
  <c r="EM43" i="28"/>
  <c r="EN43" i="28"/>
  <c r="BV63" i="28"/>
  <c r="BX63" i="28"/>
  <c r="CC63" i="28"/>
  <c r="ED63" i="28"/>
  <c r="BR64" i="28"/>
  <c r="BT64" i="28"/>
  <c r="BS63" i="28"/>
  <c r="DB45" i="28"/>
  <c r="DK45" i="28"/>
  <c r="R43" i="31"/>
  <c r="DJ44" i="28"/>
  <c r="C44" i="31"/>
  <c r="H44" i="31"/>
  <c r="EH31" i="28"/>
  <c r="E31" i="31"/>
  <c r="J31" i="31"/>
  <c r="DV31" i="28"/>
  <c r="D31" i="31"/>
  <c r="I31" i="31"/>
  <c r="EA32" i="28"/>
  <c r="P32" i="31"/>
  <c r="EG32" i="28"/>
  <c r="EF32" i="28"/>
  <c r="DC45" i="28"/>
  <c r="N45" i="31"/>
  <c r="DI45" i="28"/>
  <c r="DH45" i="28"/>
  <c r="DO32" i="28"/>
  <c r="O32" i="31"/>
  <c r="DU32" i="28"/>
  <c r="DT32" i="28"/>
  <c r="DQ41" i="28"/>
  <c r="EC61" i="28"/>
  <c r="EE63" i="28"/>
  <c r="DG81" i="28"/>
  <c r="DE79" i="28"/>
  <c r="DS43" i="28"/>
  <c r="F62" i="30"/>
  <c r="J62" i="30"/>
  <c r="CB62" i="28"/>
  <c r="EB62" i="28"/>
  <c r="D80" i="30"/>
  <c r="H80" i="30"/>
  <c r="BD80" i="28"/>
  <c r="DD80" i="28"/>
  <c r="E42" i="30"/>
  <c r="I42" i="30"/>
  <c r="BP42" i="28"/>
  <c r="DP42" i="28"/>
  <c r="D81" i="29"/>
  <c r="H81" i="29"/>
  <c r="F63" i="29"/>
  <c r="J63" i="29"/>
  <c r="EU42" i="28"/>
  <c r="E43" i="29"/>
  <c r="I43" i="29"/>
  <c r="ER43" i="28"/>
  <c r="ET43" i="28"/>
  <c r="EO43" i="28"/>
  <c r="ES43" i="28"/>
  <c r="DZ33" i="28"/>
  <c r="EI33" i="28"/>
  <c r="AT83" i="28"/>
  <c r="AV83" i="28"/>
  <c r="AU82" i="28"/>
  <c r="AX82" i="28"/>
  <c r="AZ82" i="28"/>
  <c r="BE82" i="28"/>
  <c r="DF82" i="28"/>
  <c r="BC80" i="28"/>
  <c r="C80" i="32"/>
  <c r="H80" i="32"/>
  <c r="DN33" i="28"/>
  <c r="DW33" i="28"/>
  <c r="AW81" i="28"/>
  <c r="AY81" i="28"/>
  <c r="BA81" i="28"/>
  <c r="BB81" i="28"/>
  <c r="DB46" i="28"/>
  <c r="DK46" i="28"/>
  <c r="BV64" i="28"/>
  <c r="BX64" i="28"/>
  <c r="CC64" i="28"/>
  <c r="ED64" i="28"/>
  <c r="BR65" i="28"/>
  <c r="BT65" i="28"/>
  <c r="BS64" i="28"/>
  <c r="BI43" i="28"/>
  <c r="BK43" i="28"/>
  <c r="BM43" i="28"/>
  <c r="BN43" i="28"/>
  <c r="BO42" i="28"/>
  <c r="D42" i="32"/>
  <c r="I42" i="32"/>
  <c r="EL45" i="28"/>
  <c r="EQ44" i="28"/>
  <c r="EP44" i="28"/>
  <c r="EM44" i="28"/>
  <c r="EN44" i="28"/>
  <c r="CA62" i="28"/>
  <c r="E62" i="32"/>
  <c r="J62" i="32"/>
  <c r="BU63" i="28"/>
  <c r="BW63" i="28"/>
  <c r="BY63" i="28"/>
  <c r="BZ63" i="28"/>
  <c r="BF45" i="28"/>
  <c r="BH45" i="28"/>
  <c r="BG44" i="28"/>
  <c r="BJ44" i="28"/>
  <c r="BL44" i="28"/>
  <c r="BQ44" i="28"/>
  <c r="DR44" i="28"/>
  <c r="R44" i="31"/>
  <c r="EH32" i="28"/>
  <c r="E32" i="31"/>
  <c r="J32" i="31"/>
  <c r="DV32" i="28"/>
  <c r="D32" i="31"/>
  <c r="I32" i="31"/>
  <c r="DJ45" i="28"/>
  <c r="C45" i="31"/>
  <c r="H45" i="31"/>
  <c r="EA33" i="28"/>
  <c r="P33" i="31"/>
  <c r="EG33" i="28"/>
  <c r="EF33" i="28"/>
  <c r="DO33" i="28"/>
  <c r="O33" i="31"/>
  <c r="DU33" i="28"/>
  <c r="DT33" i="28"/>
  <c r="DC46" i="28"/>
  <c r="N46" i="31"/>
  <c r="DI46" i="28"/>
  <c r="DH46" i="28"/>
  <c r="DE80" i="28"/>
  <c r="DS44" i="28"/>
  <c r="EC62" i="28"/>
  <c r="DQ42" i="28"/>
  <c r="EE64" i="28"/>
  <c r="DG82" i="28"/>
  <c r="F63" i="30"/>
  <c r="J63" i="30"/>
  <c r="CB63" i="28"/>
  <c r="EB63" i="28"/>
  <c r="E43" i="30"/>
  <c r="I43" i="30"/>
  <c r="BP43" i="28"/>
  <c r="DP43" i="28"/>
  <c r="D81" i="30"/>
  <c r="H81" i="30"/>
  <c r="BD81" i="28"/>
  <c r="DD81" i="28"/>
  <c r="D82" i="29"/>
  <c r="H82" i="29"/>
  <c r="ER44" i="28"/>
  <c r="ET44" i="28"/>
  <c r="E44" i="29"/>
  <c r="I44" i="29"/>
  <c r="F64" i="29"/>
  <c r="J64" i="29"/>
  <c r="EU43" i="28"/>
  <c r="BC81" i="28"/>
  <c r="C81" i="32"/>
  <c r="H81" i="32"/>
  <c r="AT84" i="28"/>
  <c r="AV84" i="28"/>
  <c r="AX83" i="28"/>
  <c r="AZ83" i="28"/>
  <c r="BE83" i="28"/>
  <c r="DF83" i="28"/>
  <c r="AU83" i="28"/>
  <c r="DZ34" i="28"/>
  <c r="EI34" i="28"/>
  <c r="DN34" i="28"/>
  <c r="DW34" i="28"/>
  <c r="AW82" i="28"/>
  <c r="AY82" i="28"/>
  <c r="BA82" i="28"/>
  <c r="BB82" i="28"/>
  <c r="CA63" i="28"/>
  <c r="E63" i="32"/>
  <c r="J63" i="32"/>
  <c r="BF46" i="28"/>
  <c r="BH46" i="28"/>
  <c r="BG45" i="28"/>
  <c r="BJ45" i="28"/>
  <c r="BL45" i="28"/>
  <c r="BQ45" i="28"/>
  <c r="DR45" i="28"/>
  <c r="BV65" i="28"/>
  <c r="BX65" i="28"/>
  <c r="CC65" i="28"/>
  <c r="ED65" i="28"/>
  <c r="BR66" i="28"/>
  <c r="BT66" i="28"/>
  <c r="BS65" i="28"/>
  <c r="BI44" i="28"/>
  <c r="BK44" i="28"/>
  <c r="BM44" i="28"/>
  <c r="BN44" i="28"/>
  <c r="BU64" i="28"/>
  <c r="BW64" i="28"/>
  <c r="BY64" i="28"/>
  <c r="BZ64" i="28"/>
  <c r="EL46" i="28"/>
  <c r="EQ45" i="28"/>
  <c r="EP45" i="28"/>
  <c r="EN45" i="28"/>
  <c r="EM45" i="28"/>
  <c r="BO43" i="28"/>
  <c r="D43" i="32"/>
  <c r="I43" i="32"/>
  <c r="DB47" i="28"/>
  <c r="DK47" i="28"/>
  <c r="EO44" i="28"/>
  <c r="ES44" i="28"/>
  <c r="R45" i="31"/>
  <c r="EH33" i="28"/>
  <c r="E33" i="31"/>
  <c r="J33" i="31"/>
  <c r="DJ46" i="28"/>
  <c r="C46" i="31"/>
  <c r="H46" i="31"/>
  <c r="DV33" i="28"/>
  <c r="D33" i="31"/>
  <c r="I33" i="31"/>
  <c r="DC47" i="28"/>
  <c r="N47" i="31"/>
  <c r="DI47" i="28"/>
  <c r="DH47" i="28"/>
  <c r="DO34" i="28"/>
  <c r="O34" i="31"/>
  <c r="DU34" i="28"/>
  <c r="DT34" i="28"/>
  <c r="EA34" i="28"/>
  <c r="P34" i="31"/>
  <c r="EG34" i="28"/>
  <c r="EF34" i="28"/>
  <c r="DG83" i="28"/>
  <c r="DQ43" i="28"/>
  <c r="EC63" i="28"/>
  <c r="DS45" i="28"/>
  <c r="EU44" i="28"/>
  <c r="DE81" i="28"/>
  <c r="EE65" i="28"/>
  <c r="F64" i="30"/>
  <c r="J64" i="30"/>
  <c r="CB64" i="28"/>
  <c r="EB64" i="28"/>
  <c r="E44" i="30"/>
  <c r="I44" i="30"/>
  <c r="BP44" i="28"/>
  <c r="DP44" i="28"/>
  <c r="D82" i="30"/>
  <c r="H82" i="30"/>
  <c r="BD82" i="28"/>
  <c r="DD82" i="28"/>
  <c r="D83" i="29"/>
  <c r="H83" i="29"/>
  <c r="F65" i="29"/>
  <c r="J65" i="29"/>
  <c r="E45" i="29"/>
  <c r="I45" i="29"/>
  <c r="EO45" i="28"/>
  <c r="ES45" i="28"/>
  <c r="ER45" i="28"/>
  <c r="ET45" i="28"/>
  <c r="DZ35" i="28"/>
  <c r="EI35" i="28"/>
  <c r="AW83" i="28"/>
  <c r="AY83" i="28"/>
  <c r="BA83" i="28"/>
  <c r="BB83" i="28"/>
  <c r="BC82" i="28"/>
  <c r="C82" i="32"/>
  <c r="H82" i="32"/>
  <c r="DN35" i="28"/>
  <c r="DW35" i="28"/>
  <c r="AT85" i="28"/>
  <c r="AV85" i="28"/>
  <c r="AU84" i="28"/>
  <c r="AX84" i="28"/>
  <c r="AZ84" i="28"/>
  <c r="BE84" i="28"/>
  <c r="DF84" i="28"/>
  <c r="CA64" i="28"/>
  <c r="E64" i="32"/>
  <c r="J64" i="32"/>
  <c r="BU65" i="28"/>
  <c r="BW65" i="28"/>
  <c r="BY65" i="28"/>
  <c r="BZ65" i="28"/>
  <c r="BI45" i="28"/>
  <c r="BK45" i="28"/>
  <c r="BM45" i="28"/>
  <c r="BN45" i="28"/>
  <c r="DB48" i="28"/>
  <c r="DK48" i="28"/>
  <c r="BO44" i="28"/>
  <c r="D44" i="32"/>
  <c r="I44" i="32"/>
  <c r="BV66" i="28"/>
  <c r="BX66" i="28"/>
  <c r="CC66" i="28"/>
  <c r="ED66" i="28"/>
  <c r="BR67" i="28"/>
  <c r="BT67" i="28"/>
  <c r="BS66" i="28"/>
  <c r="BF47" i="28"/>
  <c r="BH47" i="28"/>
  <c r="BJ46" i="28"/>
  <c r="BL46" i="28"/>
  <c r="BQ46" i="28"/>
  <c r="DR46" i="28"/>
  <c r="BG46" i="28"/>
  <c r="EL47" i="28"/>
  <c r="EQ46" i="28"/>
  <c r="EP46" i="28"/>
  <c r="EN46" i="28"/>
  <c r="EM46" i="28"/>
  <c r="R46" i="31"/>
  <c r="DJ47" i="28"/>
  <c r="C47" i="31"/>
  <c r="H47" i="31"/>
  <c r="EH34" i="28"/>
  <c r="E34" i="31"/>
  <c r="J34" i="31"/>
  <c r="DV34" i="28"/>
  <c r="D34" i="31"/>
  <c r="I34" i="31"/>
  <c r="DO35" i="28"/>
  <c r="O35" i="31"/>
  <c r="DU35" i="28"/>
  <c r="DT35" i="28"/>
  <c r="DC48" i="28"/>
  <c r="N48" i="31"/>
  <c r="DI48" i="28"/>
  <c r="DH48" i="28"/>
  <c r="EA35" i="28"/>
  <c r="P35" i="31"/>
  <c r="EG35" i="28"/>
  <c r="EF35" i="28"/>
  <c r="EE66" i="28"/>
  <c r="DE82" i="28"/>
  <c r="EC64" i="28"/>
  <c r="DG84" i="28"/>
  <c r="DS46" i="28"/>
  <c r="DQ44" i="28"/>
  <c r="F65" i="30"/>
  <c r="J65" i="30"/>
  <c r="CB65" i="28"/>
  <c r="EB65" i="28"/>
  <c r="E45" i="30"/>
  <c r="I45" i="30"/>
  <c r="BP45" i="28"/>
  <c r="DP45" i="28"/>
  <c r="D83" i="30"/>
  <c r="H83" i="30"/>
  <c r="BD83" i="28"/>
  <c r="DD83" i="28"/>
  <c r="ER46" i="28"/>
  <c r="ET46" i="28"/>
  <c r="EU45" i="28"/>
  <c r="D84" i="29"/>
  <c r="H84" i="29"/>
  <c r="F66" i="29"/>
  <c r="J66" i="29"/>
  <c r="E46" i="29"/>
  <c r="I46" i="29"/>
  <c r="AT86" i="28"/>
  <c r="AV86" i="28"/>
  <c r="AU85" i="28"/>
  <c r="AX85" i="28"/>
  <c r="AZ85" i="28"/>
  <c r="BE85" i="28"/>
  <c r="DF85" i="28"/>
  <c r="DZ36" i="28"/>
  <c r="EI36" i="28"/>
  <c r="EO46" i="28"/>
  <c r="ES46" i="28"/>
  <c r="DN36" i="28"/>
  <c r="DW36" i="28"/>
  <c r="BC83" i="28"/>
  <c r="C83" i="32"/>
  <c r="H83" i="32"/>
  <c r="AW84" i="28"/>
  <c r="AY84" i="28"/>
  <c r="BA84" i="28"/>
  <c r="BB84" i="28"/>
  <c r="CA65" i="28"/>
  <c r="E65" i="32"/>
  <c r="J65" i="32"/>
  <c r="EL48" i="28"/>
  <c r="EQ47" i="28"/>
  <c r="EP47" i="28"/>
  <c r="EM47" i="28"/>
  <c r="EN47" i="28"/>
  <c r="BI46" i="28"/>
  <c r="BK46" i="28"/>
  <c r="BM46" i="28"/>
  <c r="BN46" i="28"/>
  <c r="BV67" i="28"/>
  <c r="BX67" i="28"/>
  <c r="CC67" i="28"/>
  <c r="ED67" i="28"/>
  <c r="BR68" i="28"/>
  <c r="BT68" i="28"/>
  <c r="BS67" i="28"/>
  <c r="BF48" i="28"/>
  <c r="BH48" i="28"/>
  <c r="BG47" i="28"/>
  <c r="BJ47" i="28"/>
  <c r="BL47" i="28"/>
  <c r="BQ47" i="28"/>
  <c r="DR47" i="28"/>
  <c r="BO45" i="28"/>
  <c r="D45" i="32"/>
  <c r="I45" i="32"/>
  <c r="BU66" i="28"/>
  <c r="BW66" i="28"/>
  <c r="BY66" i="28"/>
  <c r="BZ66" i="28"/>
  <c r="DB49" i="28"/>
  <c r="DK49" i="28"/>
  <c r="R47" i="31"/>
  <c r="EH35" i="28"/>
  <c r="E35" i="31"/>
  <c r="J35" i="31"/>
  <c r="DV35" i="28"/>
  <c r="D35" i="31"/>
  <c r="I35" i="31"/>
  <c r="DO36" i="28"/>
  <c r="O36" i="31"/>
  <c r="DU36" i="28"/>
  <c r="DT36" i="28"/>
  <c r="DC49" i="28"/>
  <c r="N49" i="31"/>
  <c r="DI49" i="28"/>
  <c r="DH49" i="28"/>
  <c r="EA36" i="28"/>
  <c r="P36" i="31"/>
  <c r="EG36" i="28"/>
  <c r="EF36" i="28"/>
  <c r="DJ48" i="28"/>
  <c r="C48" i="31"/>
  <c r="H48" i="31"/>
  <c r="DQ45" i="28"/>
  <c r="DG85" i="28"/>
  <c r="EC65" i="28"/>
  <c r="EE67" i="28"/>
  <c r="DS47" i="28"/>
  <c r="DE83" i="28"/>
  <c r="F66" i="30"/>
  <c r="J66" i="30"/>
  <c r="CB66" i="28"/>
  <c r="EB66" i="28"/>
  <c r="EU46" i="28"/>
  <c r="E46" i="30"/>
  <c r="I46" i="30"/>
  <c r="BP46" i="28"/>
  <c r="DP46" i="28"/>
  <c r="D84" i="30"/>
  <c r="H84" i="30"/>
  <c r="BD84" i="28"/>
  <c r="DD84" i="28"/>
  <c r="D85" i="29"/>
  <c r="H85" i="29"/>
  <c r="E47" i="29"/>
  <c r="I47" i="29"/>
  <c r="F67" i="29"/>
  <c r="J67" i="29"/>
  <c r="ER47" i="28"/>
  <c r="ET47" i="28"/>
  <c r="AW85" i="28"/>
  <c r="AY85" i="28"/>
  <c r="BA85" i="28"/>
  <c r="BB85" i="28"/>
  <c r="DZ37" i="28"/>
  <c r="EI37" i="28"/>
  <c r="AT87" i="28"/>
  <c r="AV87" i="28"/>
  <c r="AU86" i="28"/>
  <c r="AX86" i="28"/>
  <c r="AZ86" i="28"/>
  <c r="BE86" i="28"/>
  <c r="DF86" i="28"/>
  <c r="EO47" i="28"/>
  <c r="ES47" i="28"/>
  <c r="DN37" i="28"/>
  <c r="DW37" i="28"/>
  <c r="BC84" i="28"/>
  <c r="C84" i="32"/>
  <c r="H84" i="32"/>
  <c r="BF49" i="28"/>
  <c r="BH49" i="28"/>
  <c r="BJ48" i="28"/>
  <c r="BL48" i="28"/>
  <c r="BQ48" i="28"/>
  <c r="DR48" i="28"/>
  <c r="BG48" i="28"/>
  <c r="BR69" i="28"/>
  <c r="BT69" i="28"/>
  <c r="BV68" i="28"/>
  <c r="BX68" i="28"/>
  <c r="CC68" i="28"/>
  <c r="ED68" i="28"/>
  <c r="BS68" i="28"/>
  <c r="BU67" i="28"/>
  <c r="BW67" i="28"/>
  <c r="BY67" i="28"/>
  <c r="BZ67" i="28"/>
  <c r="CA66" i="28"/>
  <c r="E66" i="32"/>
  <c r="J66" i="32"/>
  <c r="BI47" i="28"/>
  <c r="BK47" i="28"/>
  <c r="BM47" i="28"/>
  <c r="BN47" i="28"/>
  <c r="DB50" i="28"/>
  <c r="DK50" i="28"/>
  <c r="BO46" i="28"/>
  <c r="D46" i="32"/>
  <c r="I46" i="32"/>
  <c r="EQ48" i="28"/>
  <c r="EL49" i="28"/>
  <c r="EP48" i="28"/>
  <c r="EM48" i="28"/>
  <c r="EN48" i="28"/>
  <c r="R48" i="31"/>
  <c r="DV36" i="28"/>
  <c r="D36" i="31"/>
  <c r="I36" i="31"/>
  <c r="EH36" i="28"/>
  <c r="E36" i="31"/>
  <c r="J36" i="31"/>
  <c r="EA37" i="28"/>
  <c r="P37" i="31"/>
  <c r="EG37" i="28"/>
  <c r="EF37" i="28"/>
  <c r="DJ49" i="28"/>
  <c r="C49" i="31"/>
  <c r="H49" i="31"/>
  <c r="DO37" i="28"/>
  <c r="O37" i="31"/>
  <c r="DU37" i="28"/>
  <c r="DT37" i="28"/>
  <c r="DC50" i="28"/>
  <c r="N50" i="31"/>
  <c r="DI50" i="28"/>
  <c r="DH50" i="28"/>
  <c r="DS48" i="28"/>
  <c r="EC66" i="28"/>
  <c r="DE84" i="28"/>
  <c r="EE68" i="28"/>
  <c r="DQ46" i="28"/>
  <c r="DG86" i="28"/>
  <c r="F67" i="30"/>
  <c r="J67" i="30"/>
  <c r="CB67" i="28"/>
  <c r="EB67" i="28"/>
  <c r="E47" i="30"/>
  <c r="I47" i="30"/>
  <c r="BP47" i="28"/>
  <c r="DP47" i="28"/>
  <c r="D85" i="30"/>
  <c r="H85" i="30"/>
  <c r="BD85" i="28"/>
  <c r="DD85" i="28"/>
  <c r="EU47" i="28"/>
  <c r="E48" i="29"/>
  <c r="I48" i="29"/>
  <c r="F68" i="29"/>
  <c r="J68" i="29"/>
  <c r="D86" i="29"/>
  <c r="H86" i="29"/>
  <c r="EO48" i="28"/>
  <c r="ES48" i="28"/>
  <c r="ER48" i="28"/>
  <c r="ET48" i="28"/>
  <c r="DN38" i="28"/>
  <c r="DW38" i="28"/>
  <c r="AW86" i="28"/>
  <c r="AY86" i="28"/>
  <c r="BA86" i="28"/>
  <c r="BB86" i="28"/>
  <c r="BC85" i="28"/>
  <c r="C85" i="32"/>
  <c r="H85" i="32"/>
  <c r="AT88" i="28"/>
  <c r="AV88" i="28"/>
  <c r="AU87" i="28"/>
  <c r="AX87" i="28"/>
  <c r="AZ87" i="28"/>
  <c r="BE87" i="28"/>
  <c r="DF87" i="28"/>
  <c r="DZ38" i="28"/>
  <c r="EI38" i="28"/>
  <c r="EL50" i="28"/>
  <c r="EQ49" i="28"/>
  <c r="EP49" i="28"/>
  <c r="EM49" i="28"/>
  <c r="EN49" i="28"/>
  <c r="BF50" i="28"/>
  <c r="BH50" i="28"/>
  <c r="BG49" i="28"/>
  <c r="BJ49" i="28"/>
  <c r="BL49" i="28"/>
  <c r="BQ49" i="28"/>
  <c r="DR49" i="28"/>
  <c r="BR70" i="28"/>
  <c r="BT70" i="28"/>
  <c r="BV69" i="28"/>
  <c r="BX69" i="28"/>
  <c r="CC69" i="28"/>
  <c r="ED69" i="28"/>
  <c r="BS69" i="28"/>
  <c r="DB51" i="28"/>
  <c r="DK51" i="28"/>
  <c r="CA67" i="28"/>
  <c r="E67" i="32"/>
  <c r="J67" i="32"/>
  <c r="BI48" i="28"/>
  <c r="BK48" i="28"/>
  <c r="BM48" i="28"/>
  <c r="BN48" i="28"/>
  <c r="BO47" i="28"/>
  <c r="D47" i="32"/>
  <c r="I47" i="32"/>
  <c r="BU68" i="28"/>
  <c r="BW68" i="28"/>
  <c r="BY68" i="28"/>
  <c r="BZ68" i="28"/>
  <c r="R49" i="31"/>
  <c r="EH37" i="28"/>
  <c r="E37" i="31"/>
  <c r="J37" i="31"/>
  <c r="DJ50" i="28"/>
  <c r="C50" i="31"/>
  <c r="H50" i="31"/>
  <c r="EA38" i="28"/>
  <c r="P38" i="31"/>
  <c r="EG38" i="28"/>
  <c r="EF38" i="28"/>
  <c r="DO38" i="28"/>
  <c r="O38" i="31"/>
  <c r="DU38" i="28"/>
  <c r="DT38" i="28"/>
  <c r="DC51" i="28"/>
  <c r="N51" i="31"/>
  <c r="DI51" i="28"/>
  <c r="DH51" i="28"/>
  <c r="DV37" i="28"/>
  <c r="D37" i="31"/>
  <c r="I37" i="31"/>
  <c r="DQ47" i="28"/>
  <c r="EC67" i="28"/>
  <c r="DS49" i="28"/>
  <c r="DG87" i="28"/>
  <c r="DE85" i="28"/>
  <c r="EE69" i="28"/>
  <c r="F68" i="30"/>
  <c r="J68" i="30"/>
  <c r="CB68" i="28"/>
  <c r="EB68" i="28"/>
  <c r="E48" i="30"/>
  <c r="I48" i="30"/>
  <c r="BP48" i="28"/>
  <c r="DP48" i="28"/>
  <c r="D86" i="30"/>
  <c r="H86" i="30"/>
  <c r="BD86" i="28"/>
  <c r="DD86" i="28"/>
  <c r="F69" i="29"/>
  <c r="J69" i="29"/>
  <c r="EU48" i="28"/>
  <c r="D87" i="29"/>
  <c r="H87" i="29"/>
  <c r="E49" i="29"/>
  <c r="I49" i="29"/>
  <c r="ER49" i="28"/>
  <c r="ET49" i="28"/>
  <c r="DZ39" i="28"/>
  <c r="EI39" i="28"/>
  <c r="AT89" i="28"/>
  <c r="AV89" i="28"/>
  <c r="AX88" i="28"/>
  <c r="AZ88" i="28"/>
  <c r="BE88" i="28"/>
  <c r="DF88" i="28"/>
  <c r="AU88" i="28"/>
  <c r="BC86" i="28"/>
  <c r="C86" i="32"/>
  <c r="H86" i="32"/>
  <c r="DN39" i="28"/>
  <c r="DW39" i="28"/>
  <c r="AW87" i="28"/>
  <c r="AY87" i="28"/>
  <c r="BA87" i="28"/>
  <c r="BB87" i="28"/>
  <c r="EL51" i="28"/>
  <c r="EP50" i="28"/>
  <c r="EQ50" i="28"/>
  <c r="EN50" i="28"/>
  <c r="EM50" i="28"/>
  <c r="BR71" i="28"/>
  <c r="BT71" i="28"/>
  <c r="BV70" i="28"/>
  <c r="BX70" i="28"/>
  <c r="CC70" i="28"/>
  <c r="ED70" i="28"/>
  <c r="BS70" i="28"/>
  <c r="BI49" i="28"/>
  <c r="BK49" i="28"/>
  <c r="BM49" i="28"/>
  <c r="BN49" i="28"/>
  <c r="BO48" i="28"/>
  <c r="D48" i="32"/>
  <c r="I48" i="32"/>
  <c r="BF51" i="28"/>
  <c r="BH51" i="28"/>
  <c r="BJ50" i="28"/>
  <c r="BL50" i="28"/>
  <c r="BQ50" i="28"/>
  <c r="DR50" i="28"/>
  <c r="BG50" i="28"/>
  <c r="EO49" i="28"/>
  <c r="ES49" i="28"/>
  <c r="CA68" i="28"/>
  <c r="E68" i="32"/>
  <c r="J68" i="32"/>
  <c r="DB52" i="28"/>
  <c r="DK52" i="28"/>
  <c r="BU69" i="28"/>
  <c r="BW69" i="28"/>
  <c r="BY69" i="28"/>
  <c r="BZ69" i="28"/>
  <c r="R50" i="31"/>
  <c r="EH38" i="28"/>
  <c r="E38" i="31"/>
  <c r="J38" i="31"/>
  <c r="DV38" i="28"/>
  <c r="D38" i="31"/>
  <c r="I38" i="31"/>
  <c r="EU49" i="28"/>
  <c r="DJ51" i="28"/>
  <c r="C51" i="31"/>
  <c r="H51" i="31"/>
  <c r="EA39" i="28"/>
  <c r="P39" i="31"/>
  <c r="EG39" i="28"/>
  <c r="EF39" i="28"/>
  <c r="DO39" i="28"/>
  <c r="O39" i="31"/>
  <c r="DU39" i="28"/>
  <c r="DT39" i="28"/>
  <c r="DC52" i="28"/>
  <c r="N52" i="31"/>
  <c r="DI52" i="28"/>
  <c r="DH52" i="28"/>
  <c r="DQ48" i="28"/>
  <c r="EC68" i="28"/>
  <c r="DG88" i="28"/>
  <c r="EE70" i="28"/>
  <c r="DE86" i="28"/>
  <c r="DS50" i="28"/>
  <c r="F69" i="30"/>
  <c r="J69" i="30"/>
  <c r="CB69" i="28"/>
  <c r="EB69" i="28"/>
  <c r="E49" i="30"/>
  <c r="I49" i="30"/>
  <c r="BP49" i="28"/>
  <c r="DP49" i="28"/>
  <c r="D87" i="30"/>
  <c r="H87" i="30"/>
  <c r="BD87" i="28"/>
  <c r="DD87" i="28"/>
  <c r="E50" i="29"/>
  <c r="I50" i="29"/>
  <c r="F70" i="29"/>
  <c r="J70" i="29"/>
  <c r="D88" i="29"/>
  <c r="H88" i="29"/>
  <c r="ER50" i="28"/>
  <c r="ET50" i="28"/>
  <c r="BC87" i="28"/>
  <c r="C87" i="32"/>
  <c r="H87" i="32"/>
  <c r="DN40" i="28"/>
  <c r="DW40" i="28"/>
  <c r="AW88" i="28"/>
  <c r="AY88" i="28"/>
  <c r="BA88" i="28"/>
  <c r="BB88" i="28"/>
  <c r="DZ40" i="28"/>
  <c r="EI40" i="28"/>
  <c r="AT90" i="28"/>
  <c r="AV90" i="28"/>
  <c r="AX89" i="28"/>
  <c r="AZ89" i="28"/>
  <c r="BE89" i="28"/>
  <c r="DF89" i="28"/>
  <c r="AU89" i="28"/>
  <c r="BI50" i="28"/>
  <c r="BK50" i="28"/>
  <c r="BM50" i="28"/>
  <c r="BN50" i="28"/>
  <c r="BO49" i="28"/>
  <c r="D49" i="32"/>
  <c r="I49" i="32"/>
  <c r="BR72" i="28"/>
  <c r="BT72" i="28"/>
  <c r="BS71" i="28"/>
  <c r="BV71" i="28"/>
  <c r="BX71" i="28"/>
  <c r="CC71" i="28"/>
  <c r="ED71" i="28"/>
  <c r="EL52" i="28"/>
  <c r="EQ51" i="28"/>
  <c r="EP51" i="28"/>
  <c r="EN51" i="28"/>
  <c r="EM51" i="28"/>
  <c r="DB53" i="28"/>
  <c r="DK53" i="28"/>
  <c r="BF52" i="28"/>
  <c r="BH52" i="28"/>
  <c r="BJ51" i="28"/>
  <c r="BL51" i="28"/>
  <c r="BQ51" i="28"/>
  <c r="DR51" i="28"/>
  <c r="BG51" i="28"/>
  <c r="CA69" i="28"/>
  <c r="E69" i="32"/>
  <c r="J69" i="32"/>
  <c r="BU70" i="28"/>
  <c r="BW70" i="28"/>
  <c r="BY70" i="28"/>
  <c r="BZ70" i="28"/>
  <c r="EO50" i="28"/>
  <c r="ES50" i="28"/>
  <c r="R51" i="31"/>
  <c r="DJ52" i="28"/>
  <c r="C52" i="31"/>
  <c r="H52" i="31"/>
  <c r="DV39" i="28"/>
  <c r="D39" i="31"/>
  <c r="I39" i="31"/>
  <c r="EH39" i="28"/>
  <c r="E39" i="31"/>
  <c r="J39" i="31"/>
  <c r="DO40" i="28"/>
  <c r="O40" i="31"/>
  <c r="DU40" i="28"/>
  <c r="DT40" i="28"/>
  <c r="EA40" i="28"/>
  <c r="P40" i="31"/>
  <c r="EG40" i="28"/>
  <c r="EF40" i="28"/>
  <c r="DC53" i="28"/>
  <c r="N53" i="31"/>
  <c r="DI53" i="28"/>
  <c r="DH53" i="28"/>
  <c r="EC69" i="28"/>
  <c r="DG89" i="28"/>
  <c r="DE87" i="28"/>
  <c r="EE71" i="28"/>
  <c r="DS51" i="28"/>
  <c r="DQ49" i="28"/>
  <c r="F70" i="30"/>
  <c r="J70" i="30"/>
  <c r="CB70" i="28"/>
  <c r="EB70" i="28"/>
  <c r="D88" i="30"/>
  <c r="H88" i="30"/>
  <c r="BD88" i="28"/>
  <c r="DD88" i="28"/>
  <c r="E50" i="30"/>
  <c r="I50" i="30"/>
  <c r="BP50" i="28"/>
  <c r="DP50" i="28"/>
  <c r="ER51" i="28"/>
  <c r="ET51" i="28"/>
  <c r="D89" i="29"/>
  <c r="H89" i="29"/>
  <c r="EU50" i="28"/>
  <c r="F71" i="29"/>
  <c r="J71" i="29"/>
  <c r="E51" i="29"/>
  <c r="I51" i="29"/>
  <c r="DN41" i="28"/>
  <c r="DW41" i="28"/>
  <c r="AW89" i="28"/>
  <c r="AY89" i="28"/>
  <c r="BA89" i="28"/>
  <c r="BB89" i="28"/>
  <c r="DZ41" i="28"/>
  <c r="EI41" i="28"/>
  <c r="BC88" i="28"/>
  <c r="C88" i="32"/>
  <c r="H88" i="32"/>
  <c r="AT91" i="28"/>
  <c r="AV91" i="28"/>
  <c r="AU90" i="28"/>
  <c r="BU71" i="28"/>
  <c r="BW71" i="28"/>
  <c r="BY71" i="28"/>
  <c r="BZ71" i="28"/>
  <c r="BI51" i="28"/>
  <c r="BK51" i="28"/>
  <c r="BM51" i="28"/>
  <c r="BN51" i="28"/>
  <c r="CA70" i="28"/>
  <c r="E70" i="32"/>
  <c r="J70" i="32"/>
  <c r="BF53" i="28"/>
  <c r="BH53" i="28"/>
  <c r="BG52" i="28"/>
  <c r="BJ52" i="28"/>
  <c r="BL52" i="28"/>
  <c r="BQ52" i="28"/>
  <c r="DR52" i="28"/>
  <c r="BR73" i="28"/>
  <c r="BT73" i="28"/>
  <c r="BV72" i="28"/>
  <c r="BX72" i="28"/>
  <c r="CC72" i="28"/>
  <c r="ED72" i="28"/>
  <c r="BS72" i="28"/>
  <c r="BO50" i="28"/>
  <c r="D50" i="32"/>
  <c r="I50" i="32"/>
  <c r="DB54" i="28"/>
  <c r="DK54" i="28"/>
  <c r="EO51" i="28"/>
  <c r="ES51" i="28"/>
  <c r="EL53" i="28"/>
  <c r="EQ52" i="28"/>
  <c r="EN52" i="28"/>
  <c r="EM52" i="28"/>
  <c r="EP52" i="28"/>
  <c r="R52" i="31"/>
  <c r="DV40" i="28"/>
  <c r="D40" i="31"/>
  <c r="I40" i="31"/>
  <c r="EH40" i="28"/>
  <c r="E40" i="31"/>
  <c r="J40" i="31"/>
  <c r="DJ53" i="28"/>
  <c r="C53" i="31"/>
  <c r="H53" i="31"/>
  <c r="DO41" i="28"/>
  <c r="O41" i="31"/>
  <c r="DU41" i="28"/>
  <c r="DT41" i="28"/>
  <c r="EA41" i="28"/>
  <c r="P41" i="31"/>
  <c r="EG41" i="28"/>
  <c r="EF41" i="28"/>
  <c r="DC54" i="28"/>
  <c r="N54" i="31"/>
  <c r="DI54" i="28"/>
  <c r="DH54" i="28"/>
  <c r="F72" i="29"/>
  <c r="J72" i="29"/>
  <c r="DE88" i="28"/>
  <c r="EC70" i="28"/>
  <c r="EE72" i="28"/>
  <c r="DS52" i="28"/>
  <c r="DQ50" i="28"/>
  <c r="EU51" i="28"/>
  <c r="F71" i="30"/>
  <c r="J71" i="30"/>
  <c r="CB71" i="28"/>
  <c r="EB71" i="28"/>
  <c r="E51" i="30"/>
  <c r="I51" i="30"/>
  <c r="BP51" i="28"/>
  <c r="DP51" i="28"/>
  <c r="D89" i="30"/>
  <c r="H89" i="30"/>
  <c r="BD89" i="28"/>
  <c r="DD89" i="28"/>
  <c r="EO52" i="28"/>
  <c r="ES52" i="28"/>
  <c r="E52" i="29"/>
  <c r="I52" i="29"/>
  <c r="AW90" i="28"/>
  <c r="AY90" i="28"/>
  <c r="D90" i="29"/>
  <c r="H90" i="29"/>
  <c r="AT92" i="28"/>
  <c r="AV92" i="28"/>
  <c r="AU91" i="28"/>
  <c r="AX91" i="28"/>
  <c r="AZ91" i="28"/>
  <c r="BE91" i="28"/>
  <c r="DF91" i="28"/>
  <c r="ER52" i="28"/>
  <c r="ET52" i="28"/>
  <c r="AX90" i="28"/>
  <c r="AZ90" i="28"/>
  <c r="BE90" i="28"/>
  <c r="DF90" i="28"/>
  <c r="DZ42" i="28"/>
  <c r="EI42" i="28"/>
  <c r="BC89" i="28"/>
  <c r="C89" i="32"/>
  <c r="H89" i="32"/>
  <c r="DN42" i="28"/>
  <c r="DW42" i="28"/>
  <c r="BF54" i="28"/>
  <c r="BH54" i="28"/>
  <c r="BG53" i="28"/>
  <c r="BJ53" i="28"/>
  <c r="BL53" i="28"/>
  <c r="BQ53" i="28"/>
  <c r="DR53" i="28"/>
  <c r="BO51" i="28"/>
  <c r="D51" i="32"/>
  <c r="I51" i="32"/>
  <c r="EL54" i="28"/>
  <c r="EQ53" i="28"/>
  <c r="EM53" i="28"/>
  <c r="EP53" i="28"/>
  <c r="EN53" i="28"/>
  <c r="BR74" i="28"/>
  <c r="BT74" i="28"/>
  <c r="BV73" i="28"/>
  <c r="BX73" i="28"/>
  <c r="CC73" i="28"/>
  <c r="ED73" i="28"/>
  <c r="BS73" i="28"/>
  <c r="CA71" i="28"/>
  <c r="E71" i="32"/>
  <c r="J71" i="32"/>
  <c r="DB55" i="28"/>
  <c r="DK55" i="28"/>
  <c r="BU72" i="28"/>
  <c r="BW72" i="28"/>
  <c r="BY72" i="28"/>
  <c r="BZ72" i="28"/>
  <c r="BI52" i="28"/>
  <c r="BK52" i="28"/>
  <c r="BM52" i="28"/>
  <c r="BN52" i="28"/>
  <c r="R53" i="31"/>
  <c r="DJ54" i="28"/>
  <c r="C54" i="31"/>
  <c r="H54" i="31"/>
  <c r="DV41" i="28"/>
  <c r="D41" i="31"/>
  <c r="I41" i="31"/>
  <c r="DO42" i="28"/>
  <c r="O42" i="31"/>
  <c r="DU42" i="28"/>
  <c r="DT42" i="28"/>
  <c r="DI55" i="28"/>
  <c r="DC55" i="28"/>
  <c r="N55" i="31"/>
  <c r="DH55" i="28"/>
  <c r="EA42" i="28"/>
  <c r="P42" i="31"/>
  <c r="EF42" i="28"/>
  <c r="EG42" i="28"/>
  <c r="EH41" i="28"/>
  <c r="E41" i="31"/>
  <c r="J41" i="31"/>
  <c r="DG91" i="28"/>
  <c r="EC71" i="28"/>
  <c r="DS53" i="28"/>
  <c r="EE73" i="28"/>
  <c r="DQ51" i="28"/>
  <c r="DG90" i="28"/>
  <c r="DE89" i="28"/>
  <c r="F72" i="30"/>
  <c r="J72" i="30"/>
  <c r="CB72" i="28"/>
  <c r="EB72" i="28"/>
  <c r="E52" i="30"/>
  <c r="I52" i="30"/>
  <c r="BP52" i="28"/>
  <c r="DP52" i="28"/>
  <c r="EU52" i="28"/>
  <c r="BA90" i="28"/>
  <c r="BB90" i="28"/>
  <c r="E53" i="29"/>
  <c r="I53" i="29"/>
  <c r="D91" i="29"/>
  <c r="H91" i="29"/>
  <c r="F73" i="29"/>
  <c r="J73" i="29"/>
  <c r="ER53" i="28"/>
  <c r="ET53" i="28"/>
  <c r="DN43" i="28"/>
  <c r="DW43" i="28"/>
  <c r="DZ43" i="28"/>
  <c r="EI43" i="28"/>
  <c r="AW91" i="28"/>
  <c r="AY91" i="28"/>
  <c r="BA91" i="28"/>
  <c r="BB91" i="28"/>
  <c r="AT93" i="28"/>
  <c r="AV93" i="28"/>
  <c r="AU92" i="28"/>
  <c r="BO52" i="28"/>
  <c r="D52" i="32"/>
  <c r="I52" i="32"/>
  <c r="CA72" i="28"/>
  <c r="E72" i="32"/>
  <c r="J72" i="32"/>
  <c r="BR75" i="28"/>
  <c r="BT75" i="28"/>
  <c r="BS74" i="28"/>
  <c r="BV74" i="28"/>
  <c r="BX74" i="28"/>
  <c r="CC74" i="28"/>
  <c r="ED74" i="28"/>
  <c r="EL55" i="28"/>
  <c r="EQ54" i="28"/>
  <c r="EP54" i="28"/>
  <c r="EN54" i="28"/>
  <c r="EM54" i="28"/>
  <c r="BI53" i="28"/>
  <c r="BK53" i="28"/>
  <c r="BM53" i="28"/>
  <c r="BN53" i="28"/>
  <c r="BU73" i="28"/>
  <c r="BW73" i="28"/>
  <c r="BY73" i="28"/>
  <c r="BZ73" i="28"/>
  <c r="DB56" i="28"/>
  <c r="DK56" i="28"/>
  <c r="EO53" i="28"/>
  <c r="ES53" i="28"/>
  <c r="BF55" i="28"/>
  <c r="BH55" i="28"/>
  <c r="BG54" i="28"/>
  <c r="BJ54" i="28"/>
  <c r="BL54" i="28"/>
  <c r="BQ54" i="28"/>
  <c r="DR54" i="28"/>
  <c r="R54" i="31"/>
  <c r="DJ55" i="28"/>
  <c r="C55" i="31"/>
  <c r="H55" i="31"/>
  <c r="DV42" i="28"/>
  <c r="D42" i="31"/>
  <c r="I42" i="31"/>
  <c r="EH42" i="28"/>
  <c r="E42" i="31"/>
  <c r="J42" i="31"/>
  <c r="DO43" i="28"/>
  <c r="O43" i="31"/>
  <c r="DU43" i="28"/>
  <c r="DT43" i="28"/>
  <c r="DC56" i="28"/>
  <c r="N56" i="31"/>
  <c r="DI56" i="28"/>
  <c r="DH56" i="28"/>
  <c r="EA43" i="28"/>
  <c r="P43" i="31"/>
  <c r="EG43" i="28"/>
  <c r="EF43" i="28"/>
  <c r="EC72" i="28"/>
  <c r="DS54" i="28"/>
  <c r="DQ52" i="28"/>
  <c r="EE74" i="28"/>
  <c r="F73" i="30"/>
  <c r="J73" i="30"/>
  <c r="CB73" i="28"/>
  <c r="EB73" i="28"/>
  <c r="D91" i="30"/>
  <c r="H91" i="30"/>
  <c r="BD91" i="28"/>
  <c r="DD91" i="28"/>
  <c r="D90" i="30"/>
  <c r="H90" i="30"/>
  <c r="BD90" i="28"/>
  <c r="DD90" i="28"/>
  <c r="E53" i="30"/>
  <c r="I53" i="30"/>
  <c r="BP53" i="28"/>
  <c r="DP53" i="28"/>
  <c r="EU53" i="28"/>
  <c r="BC90" i="28"/>
  <c r="C90" i="32"/>
  <c r="H90" i="32"/>
  <c r="F74" i="29"/>
  <c r="J74" i="29"/>
  <c r="E54" i="29"/>
  <c r="I54" i="29"/>
  <c r="AW92" i="28"/>
  <c r="AY92" i="28"/>
  <c r="D92" i="29"/>
  <c r="H92" i="29"/>
  <c r="ER54" i="28"/>
  <c r="ET54" i="28"/>
  <c r="DZ44" i="28"/>
  <c r="EI44" i="28"/>
  <c r="BC91" i="28"/>
  <c r="C91" i="32"/>
  <c r="H91" i="32"/>
  <c r="AX92" i="28"/>
  <c r="AZ92" i="28"/>
  <c r="BE92" i="28"/>
  <c r="DF92" i="28"/>
  <c r="DN44" i="28"/>
  <c r="DW44" i="28"/>
  <c r="AT94" i="28"/>
  <c r="AV94" i="28"/>
  <c r="AX93" i="28"/>
  <c r="AZ93" i="28"/>
  <c r="BE93" i="28"/>
  <c r="DF93" i="28"/>
  <c r="AU93" i="28"/>
  <c r="EL56" i="28"/>
  <c r="EQ55" i="28"/>
  <c r="EP55" i="28"/>
  <c r="EN55" i="28"/>
  <c r="EM55" i="28"/>
  <c r="BR76" i="28"/>
  <c r="BT76" i="28"/>
  <c r="BV75" i="28"/>
  <c r="BX75" i="28"/>
  <c r="CC75" i="28"/>
  <c r="ED75" i="28"/>
  <c r="BS75" i="28"/>
  <c r="DB57" i="28"/>
  <c r="DK57" i="28"/>
  <c r="CA73" i="28"/>
  <c r="E73" i="32"/>
  <c r="J73" i="32"/>
  <c r="EO54" i="28"/>
  <c r="ES54" i="28"/>
  <c r="BI54" i="28"/>
  <c r="BK54" i="28"/>
  <c r="BM54" i="28"/>
  <c r="BN54" i="28"/>
  <c r="BF56" i="28"/>
  <c r="BH56" i="28"/>
  <c r="BJ55" i="28"/>
  <c r="BL55" i="28"/>
  <c r="BQ55" i="28"/>
  <c r="DR55" i="28"/>
  <c r="BG55" i="28"/>
  <c r="BO53" i="28"/>
  <c r="D53" i="32"/>
  <c r="I53" i="32"/>
  <c r="BU74" i="28"/>
  <c r="BW74" i="28"/>
  <c r="BY74" i="28"/>
  <c r="BZ74" i="28"/>
  <c r="R55" i="31"/>
  <c r="DV43" i="28"/>
  <c r="D43" i="31"/>
  <c r="I43" i="31"/>
  <c r="DJ56" i="28"/>
  <c r="C56" i="31"/>
  <c r="H56" i="31"/>
  <c r="EH43" i="28"/>
  <c r="E43" i="31"/>
  <c r="J43" i="31"/>
  <c r="DO44" i="28"/>
  <c r="O44" i="31"/>
  <c r="DU44" i="28"/>
  <c r="DT44" i="28"/>
  <c r="DC57" i="28"/>
  <c r="N57" i="31"/>
  <c r="DI57" i="28"/>
  <c r="DH57" i="28"/>
  <c r="EA44" i="28"/>
  <c r="P44" i="31"/>
  <c r="EG44" i="28"/>
  <c r="EF44" i="28"/>
  <c r="DG92" i="28"/>
  <c r="DE90" i="28"/>
  <c r="DE91" i="28"/>
  <c r="EE75" i="28"/>
  <c r="DS55" i="28"/>
  <c r="DQ53" i="28"/>
  <c r="EC73" i="28"/>
  <c r="DG93" i="28"/>
  <c r="F74" i="30"/>
  <c r="J74" i="30"/>
  <c r="CB74" i="28"/>
  <c r="EB74" i="28"/>
  <c r="E54" i="30"/>
  <c r="I54" i="30"/>
  <c r="BP54" i="28"/>
  <c r="DP54" i="28"/>
  <c r="E55" i="29"/>
  <c r="I55" i="29"/>
  <c r="ER55" i="28"/>
  <c r="ET55" i="28"/>
  <c r="BA92" i="28"/>
  <c r="BB92" i="28"/>
  <c r="EU54" i="28"/>
  <c r="F75" i="29"/>
  <c r="J75" i="29"/>
  <c r="D93" i="29"/>
  <c r="H93" i="29"/>
  <c r="DZ45" i="28"/>
  <c r="EI45" i="28"/>
  <c r="AT95" i="28"/>
  <c r="AV95" i="28"/>
  <c r="AU94" i="28"/>
  <c r="AX94" i="28"/>
  <c r="AZ94" i="28"/>
  <c r="BE94" i="28"/>
  <c r="DF94" i="28"/>
  <c r="DN45" i="28"/>
  <c r="DW45" i="28"/>
  <c r="AW93" i="28"/>
  <c r="AY93" i="28"/>
  <c r="BA93" i="28"/>
  <c r="BB93" i="28"/>
  <c r="BF57" i="28"/>
  <c r="BH57" i="28"/>
  <c r="BG56" i="28"/>
  <c r="BJ56" i="28"/>
  <c r="BL56" i="28"/>
  <c r="BQ56" i="28"/>
  <c r="DR56" i="28"/>
  <c r="DB58" i="28"/>
  <c r="DK58" i="28"/>
  <c r="CA74" i="28"/>
  <c r="E74" i="32"/>
  <c r="J74" i="32"/>
  <c r="BO54" i="28"/>
  <c r="D54" i="32"/>
  <c r="I54" i="32"/>
  <c r="BR77" i="28"/>
  <c r="BT77" i="28"/>
  <c r="BV76" i="28"/>
  <c r="BX76" i="28"/>
  <c r="CC76" i="28"/>
  <c r="ED76" i="28"/>
  <c r="BS76" i="28"/>
  <c r="EL57" i="28"/>
  <c r="EM56" i="28"/>
  <c r="EN56" i="28"/>
  <c r="EQ56" i="28"/>
  <c r="EP56" i="28"/>
  <c r="BU75" i="28"/>
  <c r="BW75" i="28"/>
  <c r="BY75" i="28"/>
  <c r="BZ75" i="28"/>
  <c r="BI55" i="28"/>
  <c r="BK55" i="28"/>
  <c r="BM55" i="28"/>
  <c r="BN55" i="28"/>
  <c r="EO55" i="28"/>
  <c r="ES55" i="28"/>
  <c r="R56" i="31"/>
  <c r="DV44" i="28"/>
  <c r="D44" i="31"/>
  <c r="I44" i="31"/>
  <c r="EH44" i="28"/>
  <c r="E44" i="31"/>
  <c r="J44" i="31"/>
  <c r="DC58" i="28"/>
  <c r="N58" i="31"/>
  <c r="DI58" i="28"/>
  <c r="DH58" i="28"/>
  <c r="DJ57" i="28"/>
  <c r="C57" i="31"/>
  <c r="H57" i="31"/>
  <c r="EA45" i="28"/>
  <c r="P45" i="31"/>
  <c r="EG45" i="28"/>
  <c r="EF45" i="28"/>
  <c r="DO45" i="28"/>
  <c r="O45" i="31"/>
  <c r="DU45" i="28"/>
  <c r="DT45" i="28"/>
  <c r="EE76" i="28"/>
  <c r="DG94" i="28"/>
  <c r="DQ54" i="28"/>
  <c r="DS56" i="28"/>
  <c r="EC74" i="28"/>
  <c r="F75" i="30"/>
  <c r="J75" i="30"/>
  <c r="CB75" i="28"/>
  <c r="EB75" i="28"/>
  <c r="D93" i="30"/>
  <c r="H93" i="30"/>
  <c r="BD93" i="28"/>
  <c r="DD93" i="28"/>
  <c r="E55" i="30"/>
  <c r="I55" i="30"/>
  <c r="BP55" i="28"/>
  <c r="DP55" i="28"/>
  <c r="D92" i="30"/>
  <c r="H92" i="30"/>
  <c r="BD92" i="28"/>
  <c r="DD92" i="28"/>
  <c r="ER56" i="28"/>
  <c r="ET56" i="28"/>
  <c r="EU55" i="28"/>
  <c r="BC92" i="28"/>
  <c r="C92" i="32"/>
  <c r="H92" i="32"/>
  <c r="D94" i="29"/>
  <c r="H94" i="29"/>
  <c r="F76" i="29"/>
  <c r="J76" i="29"/>
  <c r="E56" i="29"/>
  <c r="I56" i="29"/>
  <c r="BC93" i="28"/>
  <c r="C93" i="32"/>
  <c r="H93" i="32"/>
  <c r="AT96" i="28"/>
  <c r="AV96" i="28"/>
  <c r="AU95" i="28"/>
  <c r="AX95" i="28"/>
  <c r="AZ95" i="28"/>
  <c r="BE95" i="28"/>
  <c r="DF95" i="28"/>
  <c r="DZ46" i="28"/>
  <c r="EI46" i="28"/>
  <c r="EO56" i="28"/>
  <c r="ES56" i="28"/>
  <c r="DN46" i="28"/>
  <c r="DW46" i="28"/>
  <c r="AW94" i="28"/>
  <c r="AY94" i="28"/>
  <c r="BA94" i="28"/>
  <c r="BB94" i="28"/>
  <c r="CA75" i="28"/>
  <c r="E75" i="32"/>
  <c r="J75" i="32"/>
  <c r="BR78" i="28"/>
  <c r="BT78" i="28"/>
  <c r="BV77" i="28"/>
  <c r="BX77" i="28"/>
  <c r="CC77" i="28"/>
  <c r="ED77" i="28"/>
  <c r="BS77" i="28"/>
  <c r="DB59" i="28"/>
  <c r="DK59" i="28"/>
  <c r="EL58" i="28"/>
  <c r="EP57" i="28"/>
  <c r="EM57" i="28"/>
  <c r="EN57" i="28"/>
  <c r="EQ57" i="28"/>
  <c r="BI56" i="28"/>
  <c r="BK56" i="28"/>
  <c r="BM56" i="28"/>
  <c r="BN56" i="28"/>
  <c r="BO55" i="28"/>
  <c r="D55" i="32"/>
  <c r="I55" i="32"/>
  <c r="BU76" i="28"/>
  <c r="BW76" i="28"/>
  <c r="BY76" i="28"/>
  <c r="BZ76" i="28"/>
  <c r="BF58" i="28"/>
  <c r="BH58" i="28"/>
  <c r="BG57" i="28"/>
  <c r="BJ57" i="28"/>
  <c r="BL57" i="28"/>
  <c r="BQ57" i="28"/>
  <c r="DR57" i="28"/>
  <c r="R57" i="31"/>
  <c r="DJ58" i="28"/>
  <c r="C58" i="31"/>
  <c r="H58" i="31"/>
  <c r="DV45" i="28"/>
  <c r="D45" i="31"/>
  <c r="I45" i="31"/>
  <c r="EA46" i="28"/>
  <c r="P46" i="31"/>
  <c r="EG46" i="28"/>
  <c r="EF46" i="28"/>
  <c r="DO46" i="28"/>
  <c r="O46" i="31"/>
  <c r="DU46" i="28"/>
  <c r="DT46" i="28"/>
  <c r="DC59" i="28"/>
  <c r="N59" i="31"/>
  <c r="DI59" i="28"/>
  <c r="DH59" i="28"/>
  <c r="EH45" i="28"/>
  <c r="E45" i="31"/>
  <c r="J45" i="31"/>
  <c r="DE93" i="28"/>
  <c r="EC75" i="28"/>
  <c r="DS57" i="28"/>
  <c r="DE92" i="28"/>
  <c r="EE77" i="28"/>
  <c r="DG95" i="28"/>
  <c r="DQ55" i="28"/>
  <c r="F76" i="30"/>
  <c r="J76" i="30"/>
  <c r="CB76" i="28"/>
  <c r="EB76" i="28"/>
  <c r="E56" i="30"/>
  <c r="I56" i="30"/>
  <c r="BP56" i="28"/>
  <c r="DP56" i="28"/>
  <c r="D94" i="30"/>
  <c r="H94" i="30"/>
  <c r="BD94" i="28"/>
  <c r="DD94" i="28"/>
  <c r="EU56" i="28"/>
  <c r="ER57" i="28"/>
  <c r="ET57" i="28"/>
  <c r="D95" i="29"/>
  <c r="H95" i="29"/>
  <c r="E57" i="29"/>
  <c r="I57" i="29"/>
  <c r="F77" i="29"/>
  <c r="J77" i="29"/>
  <c r="EO57" i="28"/>
  <c r="ES57" i="28"/>
  <c r="AW95" i="28"/>
  <c r="AY95" i="28"/>
  <c r="BA95" i="28"/>
  <c r="BB95" i="28"/>
  <c r="BC94" i="28"/>
  <c r="C94" i="32"/>
  <c r="H94" i="32"/>
  <c r="AT97" i="28"/>
  <c r="AV97" i="28"/>
  <c r="AU96" i="28"/>
  <c r="AX96" i="28"/>
  <c r="AZ96" i="28"/>
  <c r="BE96" i="28"/>
  <c r="DF96" i="28"/>
  <c r="DZ47" i="28"/>
  <c r="EI47" i="28"/>
  <c r="DN47" i="28"/>
  <c r="DW47" i="28"/>
  <c r="BG58" i="28"/>
  <c r="BF59" i="28"/>
  <c r="BH59" i="28"/>
  <c r="BJ58" i="28"/>
  <c r="BL58" i="28"/>
  <c r="BQ58" i="28"/>
  <c r="DR58" i="28"/>
  <c r="EQ58" i="28"/>
  <c r="EL59" i="28"/>
  <c r="EN58" i="28"/>
  <c r="EP58" i="28"/>
  <c r="EM58" i="28"/>
  <c r="BU77" i="28"/>
  <c r="BW77" i="28"/>
  <c r="BY77" i="28"/>
  <c r="BZ77" i="28"/>
  <c r="BR79" i="28"/>
  <c r="BT79" i="28"/>
  <c r="BV78" i="28"/>
  <c r="BX78" i="28"/>
  <c r="CC78" i="28"/>
  <c r="ED78" i="28"/>
  <c r="BS78" i="28"/>
  <c r="BO56" i="28"/>
  <c r="D56" i="32"/>
  <c r="I56" i="32"/>
  <c r="BI57" i="28"/>
  <c r="BK57" i="28"/>
  <c r="BM57" i="28"/>
  <c r="BN57" i="28"/>
  <c r="CA76" i="28"/>
  <c r="E76" i="32"/>
  <c r="J76" i="32"/>
  <c r="DB60" i="28"/>
  <c r="DK60" i="28"/>
  <c r="R58" i="31"/>
  <c r="EH46" i="28"/>
  <c r="E46" i="31"/>
  <c r="J46" i="31"/>
  <c r="DV46" i="28"/>
  <c r="D46" i="31"/>
  <c r="I46" i="31"/>
  <c r="DC60" i="28"/>
  <c r="N60" i="31"/>
  <c r="DI60" i="28"/>
  <c r="DH60" i="28"/>
  <c r="DO47" i="28"/>
  <c r="O47" i="31"/>
  <c r="DU47" i="28"/>
  <c r="DT47" i="28"/>
  <c r="DJ59" i="28"/>
  <c r="C59" i="31"/>
  <c r="H59" i="31"/>
  <c r="EA47" i="28"/>
  <c r="P47" i="31"/>
  <c r="EG47" i="28"/>
  <c r="EF47" i="28"/>
  <c r="EC76" i="28"/>
  <c r="DE94" i="28"/>
  <c r="EE78" i="28"/>
  <c r="DS58" i="28"/>
  <c r="DQ56" i="28"/>
  <c r="DG96" i="28"/>
  <c r="F77" i="30"/>
  <c r="J77" i="30"/>
  <c r="CB77" i="28"/>
  <c r="EB77" i="28"/>
  <c r="D95" i="30"/>
  <c r="H95" i="30"/>
  <c r="BD95" i="28"/>
  <c r="DD95" i="28"/>
  <c r="E57" i="30"/>
  <c r="I57" i="30"/>
  <c r="BP57" i="28"/>
  <c r="DP57" i="28"/>
  <c r="EU57" i="28"/>
  <c r="ER58" i="28"/>
  <c r="ET58" i="28"/>
  <c r="F78" i="29"/>
  <c r="J78" i="29"/>
  <c r="E58" i="29"/>
  <c r="I58" i="29"/>
  <c r="D96" i="29"/>
  <c r="H96" i="29"/>
  <c r="DN48" i="28"/>
  <c r="DW48" i="28"/>
  <c r="DZ48" i="28"/>
  <c r="EI48" i="28"/>
  <c r="AT98" i="28"/>
  <c r="AV98" i="28"/>
  <c r="AU97" i="28"/>
  <c r="AX97" i="28"/>
  <c r="AZ97" i="28"/>
  <c r="BE97" i="28"/>
  <c r="DF97" i="28"/>
  <c r="EO58" i="28"/>
  <c r="ES58" i="28"/>
  <c r="AW96" i="28"/>
  <c r="AY96" i="28"/>
  <c r="BA96" i="28"/>
  <c r="BB96" i="28"/>
  <c r="BC95" i="28"/>
  <c r="C95" i="32"/>
  <c r="H95" i="32"/>
  <c r="BR80" i="28"/>
  <c r="BT80" i="28"/>
  <c r="BV79" i="28"/>
  <c r="BX79" i="28"/>
  <c r="CC79" i="28"/>
  <c r="ED79" i="28"/>
  <c r="BS79" i="28"/>
  <c r="BF60" i="28"/>
  <c r="BH60" i="28"/>
  <c r="BG59" i="28"/>
  <c r="BJ59" i="28"/>
  <c r="BL59" i="28"/>
  <c r="BQ59" i="28"/>
  <c r="DR59" i="28"/>
  <c r="DB61" i="28"/>
  <c r="DK61" i="28"/>
  <c r="CA77" i="28"/>
  <c r="E77" i="32"/>
  <c r="J77" i="32"/>
  <c r="BI58" i="28"/>
  <c r="BK58" i="28"/>
  <c r="BM58" i="28"/>
  <c r="BN58" i="28"/>
  <c r="BO57" i="28"/>
  <c r="D57" i="32"/>
  <c r="I57" i="32"/>
  <c r="BU78" i="28"/>
  <c r="BW78" i="28"/>
  <c r="BY78" i="28"/>
  <c r="BZ78" i="28"/>
  <c r="EQ59" i="28"/>
  <c r="EL60" i="28"/>
  <c r="EP59" i="28"/>
  <c r="EN59" i="28"/>
  <c r="EM59" i="28"/>
  <c r="R59" i="31"/>
  <c r="DJ60" i="28"/>
  <c r="C60" i="31"/>
  <c r="H60" i="31"/>
  <c r="DC61" i="28"/>
  <c r="N61" i="31"/>
  <c r="DI61" i="28"/>
  <c r="DH61" i="28"/>
  <c r="DV47" i="28"/>
  <c r="D47" i="31"/>
  <c r="I47" i="31"/>
  <c r="EH47" i="28"/>
  <c r="E47" i="31"/>
  <c r="J47" i="31"/>
  <c r="EA48" i="28"/>
  <c r="P48" i="31"/>
  <c r="EG48" i="28"/>
  <c r="EF48" i="28"/>
  <c r="DO48" i="28"/>
  <c r="O48" i="31"/>
  <c r="DU48" i="28"/>
  <c r="DT48" i="28"/>
  <c r="EE79" i="28"/>
  <c r="DE95" i="28"/>
  <c r="EC77" i="28"/>
  <c r="DS59" i="28"/>
  <c r="DG97" i="28"/>
  <c r="DQ57" i="28"/>
  <c r="F78" i="30"/>
  <c r="J78" i="30"/>
  <c r="CB78" i="28"/>
  <c r="EB78" i="28"/>
  <c r="D96" i="30"/>
  <c r="H96" i="30"/>
  <c r="BD96" i="28"/>
  <c r="DD96" i="28"/>
  <c r="E58" i="30"/>
  <c r="I58" i="30"/>
  <c r="BP58" i="28"/>
  <c r="DP58" i="28"/>
  <c r="EU58" i="28"/>
  <c r="F79" i="29"/>
  <c r="J79" i="29"/>
  <c r="D97" i="29"/>
  <c r="H97" i="29"/>
  <c r="E59" i="29"/>
  <c r="I59" i="29"/>
  <c r="ER59" i="28"/>
  <c r="ET59" i="28"/>
  <c r="AW97" i="28"/>
  <c r="AY97" i="28"/>
  <c r="BA97" i="28"/>
  <c r="BB97" i="28"/>
  <c r="AT99" i="28"/>
  <c r="AV99" i="28"/>
  <c r="AU98" i="28"/>
  <c r="AX98" i="28"/>
  <c r="AZ98" i="28"/>
  <c r="BE98" i="28"/>
  <c r="DF98" i="28"/>
  <c r="DZ49" i="28"/>
  <c r="EI49" i="28"/>
  <c r="DN49" i="28"/>
  <c r="DW49" i="28"/>
  <c r="BC96" i="28"/>
  <c r="C96" i="32"/>
  <c r="H96" i="32"/>
  <c r="CA78" i="28"/>
  <c r="E78" i="32"/>
  <c r="J78" i="32"/>
  <c r="BO58" i="28"/>
  <c r="D58" i="32"/>
  <c r="I58" i="32"/>
  <c r="BU79" i="28"/>
  <c r="BW79" i="28"/>
  <c r="BY79" i="28"/>
  <c r="BZ79" i="28"/>
  <c r="EQ60" i="28"/>
  <c r="EL61" i="28"/>
  <c r="EP60" i="28"/>
  <c r="EM60" i="28"/>
  <c r="EN60" i="28"/>
  <c r="DB62" i="28"/>
  <c r="DK62" i="28"/>
  <c r="BI59" i="28"/>
  <c r="BK59" i="28"/>
  <c r="BM59" i="28"/>
  <c r="BN59" i="28"/>
  <c r="EO59" i="28"/>
  <c r="ES59" i="28"/>
  <c r="BF61" i="28"/>
  <c r="BH61" i="28"/>
  <c r="BG60" i="28"/>
  <c r="BJ60" i="28"/>
  <c r="BL60" i="28"/>
  <c r="BQ60" i="28"/>
  <c r="DR60" i="28"/>
  <c r="BR81" i="28"/>
  <c r="BT81" i="28"/>
  <c r="BV80" i="28"/>
  <c r="BX80" i="28"/>
  <c r="CC80" i="28"/>
  <c r="ED80" i="28"/>
  <c r="BS80" i="28"/>
  <c r="R60" i="31"/>
  <c r="DJ61" i="28"/>
  <c r="C61" i="31"/>
  <c r="H61" i="31"/>
  <c r="EH48" i="28"/>
  <c r="E48" i="31"/>
  <c r="J48" i="31"/>
  <c r="DO49" i="28"/>
  <c r="O49" i="31"/>
  <c r="DU49" i="28"/>
  <c r="DT49" i="28"/>
  <c r="EA49" i="28"/>
  <c r="P49" i="31"/>
  <c r="EG49" i="28"/>
  <c r="EF49" i="28"/>
  <c r="DC62" i="28"/>
  <c r="N62" i="31"/>
  <c r="DI62" i="28"/>
  <c r="DH62" i="28"/>
  <c r="DV48" i="28"/>
  <c r="D48" i="31"/>
  <c r="I48" i="31"/>
  <c r="DE96" i="28"/>
  <c r="EC78" i="28"/>
  <c r="EE80" i="28"/>
  <c r="DG98" i="28"/>
  <c r="DQ58" i="28"/>
  <c r="DS60" i="28"/>
  <c r="F79" i="30"/>
  <c r="J79" i="30"/>
  <c r="CB79" i="28"/>
  <c r="EB79" i="28"/>
  <c r="D97" i="30"/>
  <c r="H97" i="30"/>
  <c r="BD97" i="28"/>
  <c r="DD97" i="28"/>
  <c r="E59" i="30"/>
  <c r="I59" i="30"/>
  <c r="BP59" i="28"/>
  <c r="DP59" i="28"/>
  <c r="D98" i="29"/>
  <c r="H98" i="29"/>
  <c r="EU59" i="28"/>
  <c r="ER60" i="28"/>
  <c r="ET60" i="28"/>
  <c r="F80" i="29"/>
  <c r="J80" i="29"/>
  <c r="E60" i="29"/>
  <c r="I60" i="29"/>
  <c r="DZ50" i="28"/>
  <c r="EI50" i="28"/>
  <c r="AW98" i="28"/>
  <c r="AY98" i="28"/>
  <c r="BA98" i="28"/>
  <c r="BB98" i="28"/>
  <c r="BC97" i="28"/>
  <c r="C97" i="32"/>
  <c r="H97" i="32"/>
  <c r="EO60" i="28"/>
  <c r="ES60" i="28"/>
  <c r="DN50" i="28"/>
  <c r="DW50" i="28"/>
  <c r="AT100" i="28"/>
  <c r="AV100" i="28"/>
  <c r="AX99" i="28"/>
  <c r="AZ99" i="28"/>
  <c r="BE99" i="28"/>
  <c r="DF99" i="28"/>
  <c r="AU99" i="28"/>
  <c r="BI60" i="28"/>
  <c r="BK60" i="28"/>
  <c r="BM60" i="28"/>
  <c r="BN60" i="28"/>
  <c r="CA79" i="28"/>
  <c r="E79" i="32"/>
  <c r="J79" i="32"/>
  <c r="BO59" i="28"/>
  <c r="D59" i="32"/>
  <c r="I59" i="32"/>
  <c r="BF62" i="28"/>
  <c r="BH62" i="28"/>
  <c r="BJ61" i="28"/>
  <c r="BL61" i="28"/>
  <c r="BQ61" i="28"/>
  <c r="DR61" i="28"/>
  <c r="BG61" i="28"/>
  <c r="DB63" i="28"/>
  <c r="DK63" i="28"/>
  <c r="EL62" i="28"/>
  <c r="EM61" i="28"/>
  <c r="EN61" i="28"/>
  <c r="EP61" i="28"/>
  <c r="EQ61" i="28"/>
  <c r="BU80" i="28"/>
  <c r="BW80" i="28"/>
  <c r="BY80" i="28"/>
  <c r="BZ80" i="28"/>
  <c r="BR82" i="28"/>
  <c r="BT82" i="28"/>
  <c r="BV81" i="28"/>
  <c r="BX81" i="28"/>
  <c r="CC81" i="28"/>
  <c r="ED81" i="28"/>
  <c r="BS81" i="28"/>
  <c r="R61" i="31"/>
  <c r="DV49" i="28"/>
  <c r="D49" i="31"/>
  <c r="I49" i="31"/>
  <c r="DJ62" i="28"/>
  <c r="C62" i="31"/>
  <c r="H62" i="31"/>
  <c r="EA50" i="28"/>
  <c r="P50" i="31"/>
  <c r="EG50" i="28"/>
  <c r="EF50" i="28"/>
  <c r="DO50" i="28"/>
  <c r="O50" i="31"/>
  <c r="DU50" i="28"/>
  <c r="DT50" i="28"/>
  <c r="DC63" i="28"/>
  <c r="N63" i="31"/>
  <c r="DI63" i="28"/>
  <c r="DH63" i="28"/>
  <c r="EH49" i="28"/>
  <c r="E49" i="31"/>
  <c r="J49" i="31"/>
  <c r="DE97" i="28"/>
  <c r="EC79" i="28"/>
  <c r="EE81" i="28"/>
  <c r="DG99" i="28"/>
  <c r="DS61" i="28"/>
  <c r="EU60" i="28"/>
  <c r="DQ59" i="28"/>
  <c r="D99" i="29"/>
  <c r="H99" i="29"/>
  <c r="F80" i="30"/>
  <c r="J80" i="30"/>
  <c r="CB80" i="28"/>
  <c r="EB80" i="28"/>
  <c r="E60" i="30"/>
  <c r="I60" i="30"/>
  <c r="BP60" i="28"/>
  <c r="DP60" i="28"/>
  <c r="D98" i="30"/>
  <c r="H98" i="30"/>
  <c r="BD98" i="28"/>
  <c r="DD98" i="28"/>
  <c r="F81" i="29"/>
  <c r="J81" i="29"/>
  <c r="E61" i="29"/>
  <c r="I61" i="29"/>
  <c r="EO61" i="28"/>
  <c r="ES61" i="28"/>
  <c r="ER61" i="28"/>
  <c r="ET61" i="28"/>
  <c r="AW99" i="28"/>
  <c r="AY99" i="28"/>
  <c r="BA99" i="28"/>
  <c r="BB99" i="28"/>
  <c r="BC98" i="28"/>
  <c r="C98" i="32"/>
  <c r="H98" i="32"/>
  <c r="DZ51" i="28"/>
  <c r="EI51" i="28"/>
  <c r="AT101" i="28"/>
  <c r="AV101" i="28"/>
  <c r="AX100" i="28"/>
  <c r="AZ100" i="28"/>
  <c r="BE100" i="28"/>
  <c r="DF100" i="28"/>
  <c r="AU100" i="28"/>
  <c r="DN51" i="28"/>
  <c r="DW51" i="28"/>
  <c r="BU81" i="28"/>
  <c r="BW81" i="28"/>
  <c r="BY81" i="28"/>
  <c r="BZ81" i="28"/>
  <c r="BF63" i="28"/>
  <c r="BH63" i="28"/>
  <c r="BG62" i="28"/>
  <c r="BJ62" i="28"/>
  <c r="BL62" i="28"/>
  <c r="BQ62" i="28"/>
  <c r="DR62" i="28"/>
  <c r="CA80" i="28"/>
  <c r="E80" i="32"/>
  <c r="J80" i="32"/>
  <c r="BO60" i="28"/>
  <c r="D60" i="32"/>
  <c r="I60" i="32"/>
  <c r="EL63" i="28"/>
  <c r="EP62" i="28"/>
  <c r="EQ62" i="28"/>
  <c r="EN62" i="28"/>
  <c r="EM62" i="28"/>
  <c r="BR83" i="28"/>
  <c r="BT83" i="28"/>
  <c r="BS82" i="28"/>
  <c r="BV82" i="28"/>
  <c r="BX82" i="28"/>
  <c r="CC82" i="28"/>
  <c r="ED82" i="28"/>
  <c r="DB64" i="28"/>
  <c r="DK64" i="28"/>
  <c r="BI61" i="28"/>
  <c r="BK61" i="28"/>
  <c r="BM61" i="28"/>
  <c r="BN61" i="28"/>
  <c r="R62" i="31"/>
  <c r="DJ63" i="28"/>
  <c r="C63" i="31"/>
  <c r="H63" i="31"/>
  <c r="EH50" i="28"/>
  <c r="E50" i="31"/>
  <c r="J50" i="31"/>
  <c r="EA51" i="28"/>
  <c r="P51" i="31"/>
  <c r="EG51" i="28"/>
  <c r="EF51" i="28"/>
  <c r="DV50" i="28"/>
  <c r="D50" i="31"/>
  <c r="I50" i="31"/>
  <c r="DC64" i="28"/>
  <c r="N64" i="31"/>
  <c r="DI64" i="28"/>
  <c r="DH64" i="28"/>
  <c r="DO51" i="28"/>
  <c r="O51" i="31"/>
  <c r="DU51" i="28"/>
  <c r="DT51" i="28"/>
  <c r="EC80" i="28"/>
  <c r="EE82" i="28"/>
  <c r="DE98" i="28"/>
  <c r="DS62" i="28"/>
  <c r="DQ60" i="28"/>
  <c r="DG100" i="28"/>
  <c r="F81" i="30"/>
  <c r="J81" i="30"/>
  <c r="CB81" i="28"/>
  <c r="EB81" i="28"/>
  <c r="D99" i="30"/>
  <c r="H99" i="30"/>
  <c r="BD99" i="28"/>
  <c r="DD99" i="28"/>
  <c r="E61" i="30"/>
  <c r="I61" i="30"/>
  <c r="BP61" i="28"/>
  <c r="DP61" i="28"/>
  <c r="F82" i="29"/>
  <c r="J82" i="29"/>
  <c r="E62" i="29"/>
  <c r="I62" i="29"/>
  <c r="D100" i="29"/>
  <c r="H100" i="29"/>
  <c r="EU61" i="28"/>
  <c r="ER62" i="28"/>
  <c r="ET62" i="28"/>
  <c r="AW100" i="28"/>
  <c r="AY100" i="28"/>
  <c r="BA100" i="28"/>
  <c r="BB100" i="28"/>
  <c r="DN52" i="28"/>
  <c r="DW52" i="28"/>
  <c r="DZ52" i="28"/>
  <c r="EI52" i="28"/>
  <c r="BC99" i="28"/>
  <c r="C99" i="32"/>
  <c r="H99" i="32"/>
  <c r="AT102" i="28"/>
  <c r="AV102" i="28"/>
  <c r="AX101" i="28"/>
  <c r="AZ101" i="28"/>
  <c r="BE101" i="28"/>
  <c r="DF101" i="28"/>
  <c r="AU101" i="28"/>
  <c r="BO61" i="28"/>
  <c r="D61" i="32"/>
  <c r="I61" i="32"/>
  <c r="BR84" i="28"/>
  <c r="BT84" i="28"/>
  <c r="BV83" i="28"/>
  <c r="BX83" i="28"/>
  <c r="CC83" i="28"/>
  <c r="ED83" i="28"/>
  <c r="BS83" i="28"/>
  <c r="CA81" i="28"/>
  <c r="E81" i="32"/>
  <c r="J81" i="32"/>
  <c r="BU82" i="28"/>
  <c r="BW82" i="28"/>
  <c r="BY82" i="28"/>
  <c r="BZ82" i="28"/>
  <c r="BI62" i="28"/>
  <c r="BK62" i="28"/>
  <c r="BM62" i="28"/>
  <c r="BN62" i="28"/>
  <c r="DB65" i="28"/>
  <c r="DK65" i="28"/>
  <c r="EL64" i="28"/>
  <c r="EP63" i="28"/>
  <c r="EN63" i="28"/>
  <c r="EQ63" i="28"/>
  <c r="EM63" i="28"/>
  <c r="EO62" i="28"/>
  <c r="ES62" i="28"/>
  <c r="BF64" i="28"/>
  <c r="BH64" i="28"/>
  <c r="BG63" i="28"/>
  <c r="BJ63" i="28"/>
  <c r="BL63" i="28"/>
  <c r="BQ63" i="28"/>
  <c r="DR63" i="28"/>
  <c r="R63" i="31"/>
  <c r="EH51" i="28"/>
  <c r="E51" i="31"/>
  <c r="J51" i="31"/>
  <c r="DV51" i="28"/>
  <c r="D51" i="31"/>
  <c r="I51" i="31"/>
  <c r="DO52" i="28"/>
  <c r="O52" i="31"/>
  <c r="DU52" i="28"/>
  <c r="DT52" i="28"/>
  <c r="DC65" i="28"/>
  <c r="N65" i="31"/>
  <c r="DI65" i="28"/>
  <c r="DH65" i="28"/>
  <c r="DJ64" i="28"/>
  <c r="C64" i="31"/>
  <c r="H64" i="31"/>
  <c r="EA52" i="28"/>
  <c r="P52" i="31"/>
  <c r="EG52" i="28"/>
  <c r="EF52" i="28"/>
  <c r="DE99" i="28"/>
  <c r="DS63" i="28"/>
  <c r="EC81" i="28"/>
  <c r="EE83" i="28"/>
  <c r="DG101" i="28"/>
  <c r="DQ61" i="28"/>
  <c r="F82" i="30"/>
  <c r="J82" i="30"/>
  <c r="CB82" i="28"/>
  <c r="EB82" i="28"/>
  <c r="E62" i="30"/>
  <c r="I62" i="30"/>
  <c r="BP62" i="28"/>
  <c r="DP62" i="28"/>
  <c r="D101" i="29"/>
  <c r="H101" i="29"/>
  <c r="D100" i="30"/>
  <c r="H100" i="30"/>
  <c r="BD100" i="28"/>
  <c r="DD100" i="28"/>
  <c r="EU62" i="28"/>
  <c r="F83" i="29"/>
  <c r="J83" i="29"/>
  <c r="E63" i="29"/>
  <c r="I63" i="29"/>
  <c r="ER63" i="28"/>
  <c r="ET63" i="28"/>
  <c r="AT103" i="28"/>
  <c r="AV103" i="28"/>
  <c r="AX102" i="28"/>
  <c r="AZ102" i="28"/>
  <c r="BE102" i="28"/>
  <c r="DF102" i="28"/>
  <c r="AU102" i="28"/>
  <c r="BC100" i="28"/>
  <c r="C100" i="32"/>
  <c r="H100" i="32"/>
  <c r="AW101" i="28"/>
  <c r="AY101" i="28"/>
  <c r="BA101" i="28"/>
  <c r="BB101" i="28"/>
  <c r="DZ53" i="28"/>
  <c r="EI53" i="28"/>
  <c r="DN53" i="28"/>
  <c r="DW53" i="28"/>
  <c r="BF65" i="28"/>
  <c r="BH65" i="28"/>
  <c r="BG64" i="28"/>
  <c r="BJ64" i="28"/>
  <c r="BL64" i="28"/>
  <c r="BQ64" i="28"/>
  <c r="DR64" i="28"/>
  <c r="BR85" i="28"/>
  <c r="BT85" i="28"/>
  <c r="BS84" i="28"/>
  <c r="BV84" i="28"/>
  <c r="BX84" i="28"/>
  <c r="CC84" i="28"/>
  <c r="ED84" i="28"/>
  <c r="BO62" i="28"/>
  <c r="D62" i="32"/>
  <c r="I62" i="32"/>
  <c r="EL65" i="28"/>
  <c r="EQ64" i="28"/>
  <c r="EN64" i="28"/>
  <c r="EM64" i="28"/>
  <c r="EP64" i="28"/>
  <c r="BI63" i="28"/>
  <c r="BK63" i="28"/>
  <c r="BM63" i="28"/>
  <c r="BN63" i="28"/>
  <c r="EO63" i="28"/>
  <c r="ES63" i="28"/>
  <c r="DB66" i="28"/>
  <c r="DK66" i="28"/>
  <c r="CA82" i="28"/>
  <c r="E82" i="32"/>
  <c r="J82" i="32"/>
  <c r="BU83" i="28"/>
  <c r="BW83" i="28"/>
  <c r="BY83" i="28"/>
  <c r="BZ83" i="28"/>
  <c r="R64" i="31"/>
  <c r="DV52" i="28"/>
  <c r="D52" i="31"/>
  <c r="I52" i="31"/>
  <c r="DJ65" i="28"/>
  <c r="C65" i="31"/>
  <c r="H65" i="31"/>
  <c r="DC66" i="28"/>
  <c r="N66" i="31"/>
  <c r="DI66" i="28"/>
  <c r="DH66" i="28"/>
  <c r="DO53" i="28"/>
  <c r="O53" i="31"/>
  <c r="DU53" i="28"/>
  <c r="DT53" i="28"/>
  <c r="EH52" i="28"/>
  <c r="E52" i="31"/>
  <c r="J52" i="31"/>
  <c r="EA53" i="28"/>
  <c r="P53" i="31"/>
  <c r="EG53" i="28"/>
  <c r="EF53" i="28"/>
  <c r="DQ62" i="28"/>
  <c r="EC82" i="28"/>
  <c r="DS64" i="28"/>
  <c r="DG102" i="28"/>
  <c r="DE100" i="28"/>
  <c r="EE84" i="28"/>
  <c r="EU63" i="28"/>
  <c r="F83" i="30"/>
  <c r="J83" i="30"/>
  <c r="CB83" i="28"/>
  <c r="EB83" i="28"/>
  <c r="D101" i="30"/>
  <c r="H101" i="30"/>
  <c r="BD101" i="28"/>
  <c r="DD101" i="28"/>
  <c r="E63" i="30"/>
  <c r="I63" i="30"/>
  <c r="BP63" i="28"/>
  <c r="DP63" i="28"/>
  <c r="D102" i="29"/>
  <c r="H102" i="29"/>
  <c r="ER64" i="28"/>
  <c r="ET64" i="28"/>
  <c r="E64" i="29"/>
  <c r="I64" i="29"/>
  <c r="F84" i="29"/>
  <c r="J84" i="29"/>
  <c r="BC101" i="28"/>
  <c r="C101" i="32"/>
  <c r="H101" i="32"/>
  <c r="EO64" i="28"/>
  <c r="ES64" i="28"/>
  <c r="DN54" i="28"/>
  <c r="DW54" i="28"/>
  <c r="AT104" i="28"/>
  <c r="AV104" i="28"/>
  <c r="AX103" i="28"/>
  <c r="AZ103" i="28"/>
  <c r="BE103" i="28"/>
  <c r="DF103" i="28"/>
  <c r="AU103" i="28"/>
  <c r="DZ54" i="28"/>
  <c r="EI54" i="28"/>
  <c r="AW102" i="28"/>
  <c r="AY102" i="28"/>
  <c r="BA102" i="28"/>
  <c r="BB102" i="28"/>
  <c r="CA83" i="28"/>
  <c r="E83" i="32"/>
  <c r="J83" i="32"/>
  <c r="BU84" i="28"/>
  <c r="BW84" i="28"/>
  <c r="BY84" i="28"/>
  <c r="BZ84" i="28"/>
  <c r="BI64" i="28"/>
  <c r="BK64" i="28"/>
  <c r="BM64" i="28"/>
  <c r="BN64" i="28"/>
  <c r="DB67" i="28"/>
  <c r="DK67" i="28"/>
  <c r="BR86" i="28"/>
  <c r="BT86" i="28"/>
  <c r="BV85" i="28"/>
  <c r="BX85" i="28"/>
  <c r="CC85" i="28"/>
  <c r="ED85" i="28"/>
  <c r="BS85" i="28"/>
  <c r="BF66" i="28"/>
  <c r="BH66" i="28"/>
  <c r="BJ65" i="28"/>
  <c r="BL65" i="28"/>
  <c r="BQ65" i="28"/>
  <c r="DR65" i="28"/>
  <c r="BG65" i="28"/>
  <c r="BO63" i="28"/>
  <c r="D63" i="32"/>
  <c r="I63" i="32"/>
  <c r="EL66" i="28"/>
  <c r="EM65" i="28"/>
  <c r="EP65" i="28"/>
  <c r="EQ65" i="28"/>
  <c r="EN65" i="28"/>
  <c r="R65" i="31"/>
  <c r="DV53" i="28"/>
  <c r="D53" i="31"/>
  <c r="I53" i="31"/>
  <c r="DJ66" i="28"/>
  <c r="C66" i="31"/>
  <c r="H66" i="31"/>
  <c r="EH53" i="28"/>
  <c r="E53" i="31"/>
  <c r="J53" i="31"/>
  <c r="EA54" i="28"/>
  <c r="P54" i="31"/>
  <c r="EG54" i="28"/>
  <c r="EF54" i="28"/>
  <c r="DC67" i="28"/>
  <c r="N67" i="31"/>
  <c r="DI67" i="28"/>
  <c r="DH67" i="28"/>
  <c r="DO54" i="28"/>
  <c r="O54" i="31"/>
  <c r="DU54" i="28"/>
  <c r="DT54" i="28"/>
  <c r="EC83" i="28"/>
  <c r="DQ63" i="28"/>
  <c r="DS65" i="28"/>
  <c r="DG103" i="28"/>
  <c r="EE85" i="28"/>
  <c r="DE101" i="28"/>
  <c r="F84" i="30"/>
  <c r="J84" i="30"/>
  <c r="CB84" i="28"/>
  <c r="EB84" i="28"/>
  <c r="D102" i="30"/>
  <c r="H102" i="30"/>
  <c r="BD102" i="28"/>
  <c r="DD102" i="28"/>
  <c r="E64" i="30"/>
  <c r="I64" i="30"/>
  <c r="BP64" i="28"/>
  <c r="DP64" i="28"/>
  <c r="EU64" i="28"/>
  <c r="E65" i="29"/>
  <c r="I65" i="29"/>
  <c r="D103" i="29"/>
  <c r="H103" i="29"/>
  <c r="ER65" i="28"/>
  <c r="ET65" i="28"/>
  <c r="F85" i="29"/>
  <c r="J85" i="29"/>
  <c r="DN55" i="28"/>
  <c r="DW55" i="28"/>
  <c r="AW103" i="28"/>
  <c r="AY103" i="28"/>
  <c r="BA103" i="28"/>
  <c r="BB103" i="28"/>
  <c r="BC102" i="28"/>
  <c r="C102" i="32"/>
  <c r="H102" i="32"/>
  <c r="DZ55" i="28"/>
  <c r="EI55" i="28"/>
  <c r="AT105" i="28"/>
  <c r="AV105" i="28"/>
  <c r="AX104" i="28"/>
  <c r="AZ104" i="28"/>
  <c r="BE104" i="28"/>
  <c r="DF104" i="28"/>
  <c r="AU104" i="28"/>
  <c r="BI65" i="28"/>
  <c r="BK65" i="28"/>
  <c r="BM65" i="28"/>
  <c r="BN65" i="28"/>
  <c r="BO64" i="28"/>
  <c r="D64" i="32"/>
  <c r="I64" i="32"/>
  <c r="CA84" i="28"/>
  <c r="E84" i="32"/>
  <c r="J84" i="32"/>
  <c r="EO65" i="28"/>
  <c r="ES65" i="28"/>
  <c r="BF67" i="28"/>
  <c r="BH67" i="28"/>
  <c r="BG66" i="28"/>
  <c r="BJ66" i="28"/>
  <c r="BL66" i="28"/>
  <c r="BQ66" i="28"/>
  <c r="DR66" i="28"/>
  <c r="EL67" i="28"/>
  <c r="EQ66" i="28"/>
  <c r="EN66" i="28"/>
  <c r="EP66" i="28"/>
  <c r="EM66" i="28"/>
  <c r="BU85" i="28"/>
  <c r="BW85" i="28"/>
  <c r="BY85" i="28"/>
  <c r="BZ85" i="28"/>
  <c r="DB68" i="28"/>
  <c r="DK68" i="28"/>
  <c r="BR87" i="28"/>
  <c r="BT87" i="28"/>
  <c r="BV86" i="28"/>
  <c r="BX86" i="28"/>
  <c r="CC86" i="28"/>
  <c r="ED86" i="28"/>
  <c r="BS86" i="28"/>
  <c r="R66" i="31"/>
  <c r="EH54" i="28"/>
  <c r="E54" i="31"/>
  <c r="J54" i="31"/>
  <c r="DV54" i="28"/>
  <c r="D54" i="31"/>
  <c r="I54" i="31"/>
  <c r="DO55" i="28"/>
  <c r="O55" i="31"/>
  <c r="DU55" i="28"/>
  <c r="DT55" i="28"/>
  <c r="EA55" i="28"/>
  <c r="P55" i="31"/>
  <c r="EG55" i="28"/>
  <c r="EF55" i="28"/>
  <c r="DC68" i="28"/>
  <c r="N68" i="31"/>
  <c r="DI68" i="28"/>
  <c r="DH68" i="28"/>
  <c r="DJ67" i="28"/>
  <c r="C67" i="31"/>
  <c r="H67" i="31"/>
  <c r="EC84" i="28"/>
  <c r="DG104" i="28"/>
  <c r="EE86" i="28"/>
  <c r="DQ64" i="28"/>
  <c r="DS66" i="28"/>
  <c r="DE102" i="28"/>
  <c r="F85" i="30"/>
  <c r="J85" i="30"/>
  <c r="CB85" i="28"/>
  <c r="EB85" i="28"/>
  <c r="D103" i="30"/>
  <c r="H103" i="30"/>
  <c r="BD103" i="28"/>
  <c r="DD103" i="28"/>
  <c r="E65" i="30"/>
  <c r="I65" i="30"/>
  <c r="BP65" i="28"/>
  <c r="DP65" i="28"/>
  <c r="F86" i="29"/>
  <c r="J86" i="29"/>
  <c r="EU65" i="28"/>
  <c r="D104" i="29"/>
  <c r="H104" i="29"/>
  <c r="E66" i="29"/>
  <c r="I66" i="29"/>
  <c r="ER66" i="28"/>
  <c r="ET66" i="28"/>
  <c r="AW104" i="28"/>
  <c r="AY104" i="28"/>
  <c r="BA104" i="28"/>
  <c r="BB104" i="28"/>
  <c r="DZ56" i="28"/>
  <c r="EI56" i="28"/>
  <c r="AT106" i="28"/>
  <c r="AV106" i="28"/>
  <c r="AX105" i="28"/>
  <c r="AZ105" i="28"/>
  <c r="BE105" i="28"/>
  <c r="DF105" i="28"/>
  <c r="AU105" i="28"/>
  <c r="BC103" i="28"/>
  <c r="C103" i="32"/>
  <c r="H103" i="32"/>
  <c r="DN56" i="28"/>
  <c r="DW56" i="28"/>
  <c r="EO66" i="28"/>
  <c r="ES66" i="28"/>
  <c r="DB69" i="28"/>
  <c r="DK69" i="28"/>
  <c r="BU86" i="28"/>
  <c r="BW86" i="28"/>
  <c r="BY86" i="28"/>
  <c r="BZ86" i="28"/>
  <c r="BI66" i="28"/>
  <c r="BK66" i="28"/>
  <c r="BM66" i="28"/>
  <c r="BN66" i="28"/>
  <c r="BO65" i="28"/>
  <c r="D65" i="32"/>
  <c r="I65" i="32"/>
  <c r="BR88" i="28"/>
  <c r="BT88" i="28"/>
  <c r="BV87" i="28"/>
  <c r="BX87" i="28"/>
  <c r="CC87" i="28"/>
  <c r="ED87" i="28"/>
  <c r="BS87" i="28"/>
  <c r="CA85" i="28"/>
  <c r="E85" i="32"/>
  <c r="J85" i="32"/>
  <c r="EL68" i="28"/>
  <c r="EP67" i="28"/>
  <c r="EQ67" i="28"/>
  <c r="EN67" i="28"/>
  <c r="EM67" i="28"/>
  <c r="BF68" i="28"/>
  <c r="BH68" i="28"/>
  <c r="BG67" i="28"/>
  <c r="BJ67" i="28"/>
  <c r="BL67" i="28"/>
  <c r="BQ67" i="28"/>
  <c r="DR67" i="28"/>
  <c r="R67" i="31"/>
  <c r="DV55" i="28"/>
  <c r="D55" i="31"/>
  <c r="I55" i="31"/>
  <c r="DC69" i="28"/>
  <c r="N69" i="31"/>
  <c r="DI69" i="28"/>
  <c r="DH69" i="28"/>
  <c r="EA56" i="28"/>
  <c r="P56" i="31"/>
  <c r="EG56" i="28"/>
  <c r="EF56" i="28"/>
  <c r="DO56" i="28"/>
  <c r="O56" i="31"/>
  <c r="DU56" i="28"/>
  <c r="DT56" i="28"/>
  <c r="DJ68" i="28"/>
  <c r="C68" i="31"/>
  <c r="H68" i="31"/>
  <c r="EH55" i="28"/>
  <c r="E55" i="31"/>
  <c r="J55" i="31"/>
  <c r="DS67" i="28"/>
  <c r="EE87" i="28"/>
  <c r="DQ65" i="28"/>
  <c r="EC85" i="28"/>
  <c r="DG105" i="28"/>
  <c r="DE103" i="28"/>
  <c r="EU66" i="28"/>
  <c r="F86" i="30"/>
  <c r="J86" i="30"/>
  <c r="CB86" i="28"/>
  <c r="EB86" i="28"/>
  <c r="D104" i="30"/>
  <c r="H104" i="30"/>
  <c r="BD104" i="28"/>
  <c r="DD104" i="28"/>
  <c r="E66" i="30"/>
  <c r="I66" i="30"/>
  <c r="BP66" i="28"/>
  <c r="DP66" i="28"/>
  <c r="D105" i="29"/>
  <c r="H105" i="29"/>
  <c r="E67" i="29"/>
  <c r="I67" i="29"/>
  <c r="F87" i="29"/>
  <c r="J87" i="29"/>
  <c r="AT107" i="28"/>
  <c r="AV107" i="28"/>
  <c r="AX106" i="28"/>
  <c r="AZ106" i="28"/>
  <c r="BE106" i="28"/>
  <c r="DF106" i="28"/>
  <c r="AU106" i="28"/>
  <c r="BC104" i="28"/>
  <c r="C104" i="32"/>
  <c r="H104" i="32"/>
  <c r="AW105" i="28"/>
  <c r="AY105" i="28"/>
  <c r="BA105" i="28"/>
  <c r="BB105" i="28"/>
  <c r="ER67" i="28"/>
  <c r="ET67" i="28"/>
  <c r="DN57" i="28"/>
  <c r="DW57" i="28"/>
  <c r="DZ57" i="28"/>
  <c r="EI57" i="28"/>
  <c r="BO66" i="28"/>
  <c r="D66" i="32"/>
  <c r="I66" i="32"/>
  <c r="EO67" i="28"/>
  <c r="ES67" i="28"/>
  <c r="BR89" i="28"/>
  <c r="BT89" i="28"/>
  <c r="BV88" i="28"/>
  <c r="BX88" i="28"/>
  <c r="CC88" i="28"/>
  <c r="ED88" i="28"/>
  <c r="BS88" i="28"/>
  <c r="CA86" i="28"/>
  <c r="E86" i="32"/>
  <c r="J86" i="32"/>
  <c r="BI67" i="28"/>
  <c r="BK67" i="28"/>
  <c r="BM67" i="28"/>
  <c r="BN67" i="28"/>
  <c r="EL69" i="28"/>
  <c r="EP68" i="28"/>
  <c r="EQ68" i="28"/>
  <c r="EN68" i="28"/>
  <c r="EM68" i="28"/>
  <c r="DB70" i="28"/>
  <c r="DK70" i="28"/>
  <c r="BF69" i="28"/>
  <c r="BH69" i="28"/>
  <c r="BG68" i="28"/>
  <c r="BJ68" i="28"/>
  <c r="BL68" i="28"/>
  <c r="BQ68" i="28"/>
  <c r="DR68" i="28"/>
  <c r="BU87" i="28"/>
  <c r="BW87" i="28"/>
  <c r="BY87" i="28"/>
  <c r="BZ87" i="28"/>
  <c r="R68" i="31"/>
  <c r="F88" i="29"/>
  <c r="J88" i="29"/>
  <c r="EH56" i="28"/>
  <c r="E56" i="31"/>
  <c r="J56" i="31"/>
  <c r="DJ69" i="28"/>
  <c r="C69" i="31"/>
  <c r="H69" i="31"/>
  <c r="EA57" i="28"/>
  <c r="P57" i="31"/>
  <c r="EG57" i="28"/>
  <c r="EF57" i="28"/>
  <c r="DC70" i="28"/>
  <c r="N70" i="31"/>
  <c r="DI70" i="28"/>
  <c r="DH70" i="28"/>
  <c r="DO57" i="28"/>
  <c r="O57" i="31"/>
  <c r="DU57" i="28"/>
  <c r="DT57" i="28"/>
  <c r="DV56" i="28"/>
  <c r="D56" i="31"/>
  <c r="I56" i="31"/>
  <c r="EC86" i="28"/>
  <c r="DG106" i="28"/>
  <c r="DQ66" i="28"/>
  <c r="DS68" i="28"/>
  <c r="EE88" i="28"/>
  <c r="DE104" i="28"/>
  <c r="F87" i="30"/>
  <c r="J87" i="30"/>
  <c r="CB87" i="28"/>
  <c r="EB87" i="28"/>
  <c r="D105" i="30"/>
  <c r="H105" i="30"/>
  <c r="BD105" i="28"/>
  <c r="DD105" i="28"/>
  <c r="E67" i="30"/>
  <c r="I67" i="30"/>
  <c r="BP67" i="28"/>
  <c r="DP67" i="28"/>
  <c r="E68" i="29"/>
  <c r="I68" i="29"/>
  <c r="D106" i="29"/>
  <c r="H106" i="29"/>
  <c r="EU67" i="28"/>
  <c r="AW106" i="28"/>
  <c r="AY106" i="28"/>
  <c r="BA106" i="28"/>
  <c r="BB106" i="28"/>
  <c r="ER68" i="28"/>
  <c r="ET68" i="28"/>
  <c r="DZ58" i="28"/>
  <c r="EI58" i="28"/>
  <c r="DN58" i="28"/>
  <c r="DW58" i="28"/>
  <c r="AT108" i="28"/>
  <c r="AV108" i="28"/>
  <c r="AX107" i="28"/>
  <c r="AZ107" i="28"/>
  <c r="BE107" i="28"/>
  <c r="DF107" i="28"/>
  <c r="AU107" i="28"/>
  <c r="BC105" i="28"/>
  <c r="C105" i="32"/>
  <c r="H105" i="32"/>
  <c r="EO68" i="28"/>
  <c r="ES68" i="28"/>
  <c r="BO67" i="28"/>
  <c r="D67" i="32"/>
  <c r="I67" i="32"/>
  <c r="EL70" i="28"/>
  <c r="EQ69" i="28"/>
  <c r="EP69" i="28"/>
  <c r="EM69" i="28"/>
  <c r="EN69" i="28"/>
  <c r="BI68" i="28"/>
  <c r="BK68" i="28"/>
  <c r="BM68" i="28"/>
  <c r="BN68" i="28"/>
  <c r="BU88" i="28"/>
  <c r="BW88" i="28"/>
  <c r="BY88" i="28"/>
  <c r="BZ88" i="28"/>
  <c r="DB71" i="28"/>
  <c r="DK71" i="28"/>
  <c r="BR90" i="28"/>
  <c r="BT90" i="28"/>
  <c r="BS89" i="28"/>
  <c r="BV89" i="28"/>
  <c r="BX89" i="28"/>
  <c r="CC89" i="28"/>
  <c r="ED89" i="28"/>
  <c r="CA87" i="28"/>
  <c r="E87" i="32"/>
  <c r="J87" i="32"/>
  <c r="BF70" i="28"/>
  <c r="BH70" i="28"/>
  <c r="BG69" i="28"/>
  <c r="BJ69" i="28"/>
  <c r="BL69" i="28"/>
  <c r="BQ69" i="28"/>
  <c r="DR69" i="28"/>
  <c r="R69" i="31"/>
  <c r="EH57" i="28"/>
  <c r="E57" i="31"/>
  <c r="J57" i="31"/>
  <c r="DJ70" i="28"/>
  <c r="C70" i="31"/>
  <c r="H70" i="31"/>
  <c r="DO58" i="28"/>
  <c r="O58" i="31"/>
  <c r="DU58" i="28"/>
  <c r="DT58" i="28"/>
  <c r="DV57" i="28"/>
  <c r="D57" i="31"/>
  <c r="I57" i="31"/>
  <c r="EA58" i="28"/>
  <c r="P58" i="31"/>
  <c r="EG58" i="28"/>
  <c r="EF58" i="28"/>
  <c r="DC71" i="28"/>
  <c r="N71" i="31"/>
  <c r="DI71" i="28"/>
  <c r="DH71" i="28"/>
  <c r="DE105" i="28"/>
  <c r="EC87" i="28"/>
  <c r="DS69" i="28"/>
  <c r="DG107" i="28"/>
  <c r="DQ67" i="28"/>
  <c r="EE89" i="28"/>
  <c r="F88" i="30"/>
  <c r="J88" i="30"/>
  <c r="CB88" i="28"/>
  <c r="EB88" i="28"/>
  <c r="D106" i="30"/>
  <c r="H106" i="30"/>
  <c r="BD106" i="28"/>
  <c r="DD106" i="28"/>
  <c r="E68" i="30"/>
  <c r="I68" i="30"/>
  <c r="BP68" i="28"/>
  <c r="DP68" i="28"/>
  <c r="E69" i="29"/>
  <c r="I69" i="29"/>
  <c r="F89" i="29"/>
  <c r="J89" i="29"/>
  <c r="D107" i="29"/>
  <c r="H107" i="29"/>
  <c r="EU68" i="28"/>
  <c r="DN59" i="28"/>
  <c r="DW59" i="28"/>
  <c r="AW107" i="28"/>
  <c r="AY107" i="28"/>
  <c r="BA107" i="28"/>
  <c r="BB107" i="28"/>
  <c r="DZ59" i="28"/>
  <c r="EI59" i="28"/>
  <c r="ER69" i="28"/>
  <c r="ET69" i="28"/>
  <c r="AT109" i="28"/>
  <c r="AV109" i="28"/>
  <c r="AX108" i="28"/>
  <c r="AZ108" i="28"/>
  <c r="BE108" i="28"/>
  <c r="DF108" i="28"/>
  <c r="AU108" i="28"/>
  <c r="BC106" i="28"/>
  <c r="C106" i="32"/>
  <c r="H106" i="32"/>
  <c r="BF71" i="28"/>
  <c r="BH71" i="28"/>
  <c r="BG70" i="28"/>
  <c r="BJ70" i="28"/>
  <c r="BL70" i="28"/>
  <c r="BQ70" i="28"/>
  <c r="DR70" i="28"/>
  <c r="BV90" i="28"/>
  <c r="BX90" i="28"/>
  <c r="CC90" i="28"/>
  <c r="ED90" i="28"/>
  <c r="BR91" i="28"/>
  <c r="BT91" i="28"/>
  <c r="BS90" i="28"/>
  <c r="BO68" i="28"/>
  <c r="D68" i="32"/>
  <c r="I68" i="32"/>
  <c r="EO69" i="28"/>
  <c r="ES69" i="28"/>
  <c r="CA88" i="28"/>
  <c r="E88" i="32"/>
  <c r="J88" i="32"/>
  <c r="EL71" i="28"/>
  <c r="EQ70" i="28"/>
  <c r="EP70" i="28"/>
  <c r="EM70" i="28"/>
  <c r="EN70" i="28"/>
  <c r="BU89" i="28"/>
  <c r="BW89" i="28"/>
  <c r="BY89" i="28"/>
  <c r="BZ89" i="28"/>
  <c r="BI69" i="28"/>
  <c r="BK69" i="28"/>
  <c r="BM69" i="28"/>
  <c r="BN69" i="28"/>
  <c r="DB72" i="28"/>
  <c r="DK72" i="28"/>
  <c r="R70" i="31"/>
  <c r="DV58" i="28"/>
  <c r="D58" i="31"/>
  <c r="I58" i="31"/>
  <c r="DJ71" i="28"/>
  <c r="C71" i="31"/>
  <c r="H71" i="31"/>
  <c r="DC72" i="28"/>
  <c r="N72" i="31"/>
  <c r="DI72" i="28"/>
  <c r="DH72" i="28"/>
  <c r="DO59" i="28"/>
  <c r="O59" i="31"/>
  <c r="DU59" i="28"/>
  <c r="DT59" i="28"/>
  <c r="EA59" i="28"/>
  <c r="P59" i="31"/>
  <c r="EG59" i="28"/>
  <c r="EF59" i="28"/>
  <c r="EH58" i="28"/>
  <c r="E58" i="31"/>
  <c r="J58" i="31"/>
  <c r="DE106" i="28"/>
  <c r="EC88" i="28"/>
  <c r="DG108" i="28"/>
  <c r="DS70" i="28"/>
  <c r="DQ68" i="28"/>
  <c r="EE90" i="28"/>
  <c r="F89" i="30"/>
  <c r="J89" i="30"/>
  <c r="CB89" i="28"/>
  <c r="EB89" i="28"/>
  <c r="D107" i="30"/>
  <c r="H107" i="30"/>
  <c r="BD107" i="28"/>
  <c r="DD107" i="28"/>
  <c r="E69" i="30"/>
  <c r="I69" i="30"/>
  <c r="BP69" i="28"/>
  <c r="DP69" i="28"/>
  <c r="F90" i="29"/>
  <c r="J90" i="29"/>
  <c r="D108" i="29"/>
  <c r="H108" i="29"/>
  <c r="E70" i="29"/>
  <c r="I70" i="29"/>
  <c r="ER70" i="28"/>
  <c r="ET70" i="28"/>
  <c r="EU69" i="28"/>
  <c r="AW108" i="28"/>
  <c r="AY108" i="28"/>
  <c r="BA108" i="28"/>
  <c r="BB108" i="28"/>
  <c r="DZ60" i="28"/>
  <c r="EI60" i="28"/>
  <c r="DN60" i="28"/>
  <c r="DW60" i="28"/>
  <c r="AT110" i="28"/>
  <c r="AV110" i="28"/>
  <c r="AX109" i="28"/>
  <c r="AZ109" i="28"/>
  <c r="BE109" i="28"/>
  <c r="DF109" i="28"/>
  <c r="AU109" i="28"/>
  <c r="BC107" i="28"/>
  <c r="C107" i="32"/>
  <c r="H107" i="32"/>
  <c r="EO70" i="28"/>
  <c r="ES70" i="28"/>
  <c r="BO69" i="28"/>
  <c r="D69" i="32"/>
  <c r="I69" i="32"/>
  <c r="CA89" i="28"/>
  <c r="E89" i="32"/>
  <c r="J89" i="32"/>
  <c r="BU90" i="28"/>
  <c r="BW90" i="28"/>
  <c r="BY90" i="28"/>
  <c r="BZ90" i="28"/>
  <c r="BI70" i="28"/>
  <c r="BK70" i="28"/>
  <c r="BM70" i="28"/>
  <c r="BN70" i="28"/>
  <c r="DB73" i="28"/>
  <c r="DK73" i="28"/>
  <c r="EL72" i="28"/>
  <c r="EQ71" i="28"/>
  <c r="EM71" i="28"/>
  <c r="EP71" i="28"/>
  <c r="EN71" i="28"/>
  <c r="BR92" i="28"/>
  <c r="BT92" i="28"/>
  <c r="BV91" i="28"/>
  <c r="BX91" i="28"/>
  <c r="CC91" i="28"/>
  <c r="ED91" i="28"/>
  <c r="BS91" i="28"/>
  <c r="BF72" i="28"/>
  <c r="BH72" i="28"/>
  <c r="BG71" i="28"/>
  <c r="BJ71" i="28"/>
  <c r="BL71" i="28"/>
  <c r="BQ71" i="28"/>
  <c r="DR71" i="28"/>
  <c r="R71" i="31"/>
  <c r="DV59" i="28"/>
  <c r="D59" i="31"/>
  <c r="I59" i="31"/>
  <c r="EH59" i="28"/>
  <c r="E59" i="31"/>
  <c r="J59" i="31"/>
  <c r="EA60" i="28"/>
  <c r="P60" i="31"/>
  <c r="EG60" i="28"/>
  <c r="EF60" i="28"/>
  <c r="DJ72" i="28"/>
  <c r="C72" i="31"/>
  <c r="H72" i="31"/>
  <c r="DC73" i="28"/>
  <c r="N73" i="31"/>
  <c r="DI73" i="28"/>
  <c r="DH73" i="28"/>
  <c r="DO60" i="28"/>
  <c r="O60" i="31"/>
  <c r="DU60" i="28"/>
  <c r="DT60" i="28"/>
  <c r="EC89" i="28"/>
  <c r="DS71" i="28"/>
  <c r="DG109" i="28"/>
  <c r="DQ69" i="28"/>
  <c r="EE91" i="28"/>
  <c r="DE107" i="28"/>
  <c r="F90" i="30"/>
  <c r="J90" i="30"/>
  <c r="CB90" i="28"/>
  <c r="EB90" i="28"/>
  <c r="E70" i="30"/>
  <c r="I70" i="30"/>
  <c r="BP70" i="28"/>
  <c r="DP70" i="28"/>
  <c r="D108" i="30"/>
  <c r="H108" i="30"/>
  <c r="BD108" i="28"/>
  <c r="DD108" i="28"/>
  <c r="EU70" i="28"/>
  <c r="D109" i="29"/>
  <c r="H109" i="29"/>
  <c r="F91" i="29"/>
  <c r="J91" i="29"/>
  <c r="E71" i="29"/>
  <c r="I71" i="29"/>
  <c r="ER71" i="28"/>
  <c r="ET71" i="28"/>
  <c r="DZ61" i="28"/>
  <c r="EI61" i="28"/>
  <c r="AT111" i="28"/>
  <c r="AV111" i="28"/>
  <c r="AX110" i="28"/>
  <c r="AZ110" i="28"/>
  <c r="BE110" i="28"/>
  <c r="DF110" i="28"/>
  <c r="AU110" i="28"/>
  <c r="BC108" i="28"/>
  <c r="C108" i="32"/>
  <c r="H108" i="32"/>
  <c r="AW109" i="28"/>
  <c r="AY109" i="28"/>
  <c r="BA109" i="28"/>
  <c r="BB109" i="28"/>
  <c r="DN61" i="28"/>
  <c r="DW61" i="28"/>
  <c r="EL73" i="28"/>
  <c r="EQ72" i="28"/>
  <c r="EP72" i="28"/>
  <c r="EN72" i="28"/>
  <c r="EM72" i="28"/>
  <c r="BI71" i="28"/>
  <c r="BK71" i="28"/>
  <c r="BM71" i="28"/>
  <c r="BN71" i="28"/>
  <c r="BR93" i="28"/>
  <c r="BT93" i="28"/>
  <c r="BV92" i="28"/>
  <c r="BX92" i="28"/>
  <c r="CC92" i="28"/>
  <c r="ED92" i="28"/>
  <c r="BS92" i="28"/>
  <c r="BO70" i="28"/>
  <c r="D70" i="32"/>
  <c r="I70" i="32"/>
  <c r="CA90" i="28"/>
  <c r="E90" i="32"/>
  <c r="J90" i="32"/>
  <c r="DB74" i="28"/>
  <c r="DK74" i="28"/>
  <c r="BF73" i="28"/>
  <c r="BH73" i="28"/>
  <c r="BG72" i="28"/>
  <c r="BJ72" i="28"/>
  <c r="BL72" i="28"/>
  <c r="BQ72" i="28"/>
  <c r="DR72" i="28"/>
  <c r="BU91" i="28"/>
  <c r="BW91" i="28"/>
  <c r="BY91" i="28"/>
  <c r="BZ91" i="28"/>
  <c r="EO71" i="28"/>
  <c r="ES71" i="28"/>
  <c r="R72" i="31"/>
  <c r="EH60" i="28"/>
  <c r="E60" i="31"/>
  <c r="J60" i="31"/>
  <c r="DV60" i="28"/>
  <c r="D60" i="31"/>
  <c r="I60" i="31"/>
  <c r="DJ73" i="28"/>
  <c r="C73" i="31"/>
  <c r="H73" i="31"/>
  <c r="DO61" i="28"/>
  <c r="O61" i="31"/>
  <c r="DU61" i="28"/>
  <c r="DT61" i="28"/>
  <c r="DC74" i="28"/>
  <c r="N74" i="31"/>
  <c r="DI74" i="28"/>
  <c r="DH74" i="28"/>
  <c r="EA61" i="28"/>
  <c r="P61" i="31"/>
  <c r="EG61" i="28"/>
  <c r="EF61" i="28"/>
  <c r="DQ70" i="28"/>
  <c r="EC90" i="28"/>
  <c r="EE92" i="28"/>
  <c r="DE108" i="28"/>
  <c r="DS72" i="28"/>
  <c r="DG110" i="28"/>
  <c r="F91" i="30"/>
  <c r="J91" i="30"/>
  <c r="CB91" i="28"/>
  <c r="EB91" i="28"/>
  <c r="D109" i="30"/>
  <c r="H109" i="30"/>
  <c r="BD109" i="28"/>
  <c r="DD109" i="28"/>
  <c r="E71" i="30"/>
  <c r="I71" i="30"/>
  <c r="BP71" i="28"/>
  <c r="DP71" i="28"/>
  <c r="EU71" i="28"/>
  <c r="E72" i="29"/>
  <c r="I72" i="29"/>
  <c r="F92" i="29"/>
  <c r="J92" i="29"/>
  <c r="D110" i="29"/>
  <c r="H110" i="29"/>
  <c r="ER72" i="28"/>
  <c r="ET72" i="28"/>
  <c r="EO72" i="28"/>
  <c r="ES72" i="28"/>
  <c r="BC109" i="28"/>
  <c r="C109" i="32"/>
  <c r="H109" i="32"/>
  <c r="AW110" i="28"/>
  <c r="AY110" i="28"/>
  <c r="BA110" i="28"/>
  <c r="BB110" i="28"/>
  <c r="DZ62" i="28"/>
  <c r="EI62" i="28"/>
  <c r="DN62" i="28"/>
  <c r="DW62" i="28"/>
  <c r="AT112" i="28"/>
  <c r="AV112" i="28"/>
  <c r="AU111" i="28"/>
  <c r="BI72" i="28"/>
  <c r="BK72" i="28"/>
  <c r="BM72" i="28"/>
  <c r="BN72" i="28"/>
  <c r="BO71" i="28"/>
  <c r="D71" i="32"/>
  <c r="I71" i="32"/>
  <c r="EL74" i="28"/>
  <c r="EQ73" i="28"/>
  <c r="EP73" i="28"/>
  <c r="EM73" i="28"/>
  <c r="EN73" i="28"/>
  <c r="BR94" i="28"/>
  <c r="BT94" i="28"/>
  <c r="BV93" i="28"/>
  <c r="BX93" i="28"/>
  <c r="CC93" i="28"/>
  <c r="ED93" i="28"/>
  <c r="BS93" i="28"/>
  <c r="CA91" i="28"/>
  <c r="E91" i="32"/>
  <c r="J91" i="32"/>
  <c r="BF74" i="28"/>
  <c r="BH74" i="28"/>
  <c r="BJ73" i="28"/>
  <c r="BL73" i="28"/>
  <c r="BQ73" i="28"/>
  <c r="DR73" i="28"/>
  <c r="BG73" i="28"/>
  <c r="BU92" i="28"/>
  <c r="BW92" i="28"/>
  <c r="BY92" i="28"/>
  <c r="BZ92" i="28"/>
  <c r="DB75" i="28"/>
  <c r="DK75" i="28"/>
  <c r="R73" i="31"/>
  <c r="EH61" i="28"/>
  <c r="E61" i="31"/>
  <c r="J61" i="31"/>
  <c r="DJ74" i="28"/>
  <c r="C74" i="31"/>
  <c r="H74" i="31"/>
  <c r="DC75" i="28"/>
  <c r="N75" i="31"/>
  <c r="DI75" i="28"/>
  <c r="DH75" i="28"/>
  <c r="DO62" i="28"/>
  <c r="O62" i="31"/>
  <c r="DU62" i="28"/>
  <c r="DT62" i="28"/>
  <c r="EA62" i="28"/>
  <c r="P62" i="31"/>
  <c r="EG62" i="28"/>
  <c r="EF62" i="28"/>
  <c r="DV61" i="28"/>
  <c r="D61" i="31"/>
  <c r="I61" i="31"/>
  <c r="EE93" i="28"/>
  <c r="EC91" i="28"/>
  <c r="DS73" i="28"/>
  <c r="DQ71" i="28"/>
  <c r="DE109" i="28"/>
  <c r="F92" i="30"/>
  <c r="J92" i="30"/>
  <c r="CB92" i="28"/>
  <c r="EB92" i="28"/>
  <c r="D110" i="30"/>
  <c r="H110" i="30"/>
  <c r="BD110" i="28"/>
  <c r="DD110" i="28"/>
  <c r="E72" i="30"/>
  <c r="I72" i="30"/>
  <c r="BP72" i="28"/>
  <c r="DP72" i="28"/>
  <c r="E73" i="29"/>
  <c r="I73" i="29"/>
  <c r="F93" i="29"/>
  <c r="J93" i="29"/>
  <c r="EU72" i="28"/>
  <c r="AW111" i="28"/>
  <c r="AY111" i="28"/>
  <c r="D111" i="29"/>
  <c r="H111" i="29"/>
  <c r="ER73" i="28"/>
  <c r="ET73" i="28"/>
  <c r="DZ63" i="28"/>
  <c r="EI63" i="28"/>
  <c r="AX111" i="28"/>
  <c r="AZ111" i="28"/>
  <c r="BE111" i="28"/>
  <c r="DF111" i="28"/>
  <c r="DN63" i="28"/>
  <c r="DW63" i="28"/>
  <c r="BC110" i="28"/>
  <c r="C110" i="32"/>
  <c r="H110" i="32"/>
  <c r="AT113" i="28"/>
  <c r="AV113" i="28"/>
  <c r="AX112" i="28"/>
  <c r="AZ112" i="28"/>
  <c r="BE112" i="28"/>
  <c r="DF112" i="28"/>
  <c r="AU112" i="28"/>
  <c r="BF75" i="28"/>
  <c r="BH75" i="28"/>
  <c r="BJ74" i="28"/>
  <c r="BL74" i="28"/>
  <c r="BQ74" i="28"/>
  <c r="DR74" i="28"/>
  <c r="BG74" i="28"/>
  <c r="EL75" i="28"/>
  <c r="EM74" i="28"/>
  <c r="EP74" i="28"/>
  <c r="EQ74" i="28"/>
  <c r="EN74" i="28"/>
  <c r="CA92" i="28"/>
  <c r="E92" i="32"/>
  <c r="J92" i="32"/>
  <c r="BU93" i="28"/>
  <c r="BW93" i="28"/>
  <c r="BY93" i="28"/>
  <c r="BZ93" i="28"/>
  <c r="BI73" i="28"/>
  <c r="BK73" i="28"/>
  <c r="BM73" i="28"/>
  <c r="BN73" i="28"/>
  <c r="BR95" i="28"/>
  <c r="BT95" i="28"/>
  <c r="BS94" i="28"/>
  <c r="BV94" i="28"/>
  <c r="BX94" i="28"/>
  <c r="CC94" i="28"/>
  <c r="ED94" i="28"/>
  <c r="EO73" i="28"/>
  <c r="ES73" i="28"/>
  <c r="BO72" i="28"/>
  <c r="D72" i="32"/>
  <c r="I72" i="32"/>
  <c r="DB76" i="28"/>
  <c r="DK76" i="28"/>
  <c r="EU73" i="28"/>
  <c r="R74" i="31"/>
  <c r="DV62" i="28"/>
  <c r="D62" i="31"/>
  <c r="I62" i="31"/>
  <c r="DJ75" i="28"/>
  <c r="C75" i="31"/>
  <c r="H75" i="31"/>
  <c r="EH62" i="28"/>
  <c r="E62" i="31"/>
  <c r="J62" i="31"/>
  <c r="EA63" i="28"/>
  <c r="P63" i="31"/>
  <c r="EG63" i="28"/>
  <c r="EF63" i="28"/>
  <c r="DC76" i="28"/>
  <c r="N76" i="31"/>
  <c r="DI76" i="28"/>
  <c r="DH76" i="28"/>
  <c r="DO63" i="28"/>
  <c r="O63" i="31"/>
  <c r="DU63" i="28"/>
  <c r="DT63" i="28"/>
  <c r="DQ72" i="28"/>
  <c r="DE110" i="28"/>
  <c r="DS74" i="28"/>
  <c r="DG111" i="28"/>
  <c r="EC92" i="28"/>
  <c r="DG112" i="28"/>
  <c r="EE94" i="28"/>
  <c r="F93" i="30"/>
  <c r="J93" i="30"/>
  <c r="CB93" i="28"/>
  <c r="EB93" i="28"/>
  <c r="E73" i="30"/>
  <c r="I73" i="30"/>
  <c r="BP73" i="28"/>
  <c r="DP73" i="28"/>
  <c r="F94" i="29"/>
  <c r="J94" i="29"/>
  <c r="ER74" i="28"/>
  <c r="ET74" i="28"/>
  <c r="BA111" i="28"/>
  <c r="BB111" i="28"/>
  <c r="E74" i="29"/>
  <c r="I74" i="29"/>
  <c r="D112" i="29"/>
  <c r="H112" i="29"/>
  <c r="AW112" i="28"/>
  <c r="AY112" i="28"/>
  <c r="BA112" i="28"/>
  <c r="BB112" i="28"/>
  <c r="DN64" i="28"/>
  <c r="DW64" i="28"/>
  <c r="DZ64" i="28"/>
  <c r="EI64" i="28"/>
  <c r="AT114" i="28"/>
  <c r="AV114" i="28"/>
  <c r="AX113" i="28"/>
  <c r="AZ113" i="28"/>
  <c r="BE113" i="28"/>
  <c r="DF113" i="28"/>
  <c r="AU113" i="28"/>
  <c r="EO74" i="28"/>
  <c r="ES74" i="28"/>
  <c r="BR96" i="28"/>
  <c r="BT96" i="28"/>
  <c r="BS95" i="28"/>
  <c r="BV95" i="28"/>
  <c r="BX95" i="28"/>
  <c r="CC95" i="28"/>
  <c r="ED95" i="28"/>
  <c r="BO73" i="28"/>
  <c r="D73" i="32"/>
  <c r="I73" i="32"/>
  <c r="BI74" i="28"/>
  <c r="BK74" i="28"/>
  <c r="BM74" i="28"/>
  <c r="BN74" i="28"/>
  <c r="CA93" i="28"/>
  <c r="E93" i="32"/>
  <c r="J93" i="32"/>
  <c r="DB77" i="28"/>
  <c r="DK77" i="28"/>
  <c r="BU94" i="28"/>
  <c r="BW94" i="28"/>
  <c r="BY94" i="28"/>
  <c r="BZ94" i="28"/>
  <c r="EL76" i="28"/>
  <c r="EQ75" i="28"/>
  <c r="EP75" i="28"/>
  <c r="EN75" i="28"/>
  <c r="EM75" i="28"/>
  <c r="BF76" i="28"/>
  <c r="BH76" i="28"/>
  <c r="BG75" i="28"/>
  <c r="BJ75" i="28"/>
  <c r="BL75" i="28"/>
  <c r="BQ75" i="28"/>
  <c r="DR75" i="28"/>
  <c r="R75" i="31"/>
  <c r="EH63" i="28"/>
  <c r="E63" i="31"/>
  <c r="J63" i="31"/>
  <c r="DV63" i="28"/>
  <c r="D63" i="31"/>
  <c r="I63" i="31"/>
  <c r="DJ76" i="28"/>
  <c r="C76" i="31"/>
  <c r="H76" i="31"/>
  <c r="DC77" i="28"/>
  <c r="N77" i="31"/>
  <c r="DI77" i="28"/>
  <c r="DH77" i="28"/>
  <c r="EA64" i="28"/>
  <c r="P64" i="31"/>
  <c r="EG64" i="28"/>
  <c r="EF64" i="28"/>
  <c r="DO64" i="28"/>
  <c r="O64" i="31"/>
  <c r="DU64" i="28"/>
  <c r="DT64" i="28"/>
  <c r="EE95" i="28"/>
  <c r="EC93" i="28"/>
  <c r="DS75" i="28"/>
  <c r="DG113" i="28"/>
  <c r="DQ73" i="28"/>
  <c r="F94" i="30"/>
  <c r="J94" i="30"/>
  <c r="CB94" i="28"/>
  <c r="EB94" i="28"/>
  <c r="E74" i="30"/>
  <c r="I74" i="30"/>
  <c r="BP74" i="28"/>
  <c r="DP74" i="28"/>
  <c r="D112" i="30"/>
  <c r="H112" i="30"/>
  <c r="BD112" i="28"/>
  <c r="DD112" i="28"/>
  <c r="D111" i="30"/>
  <c r="H111" i="30"/>
  <c r="BD111" i="28"/>
  <c r="DD111" i="28"/>
  <c r="EU74" i="28"/>
  <c r="D113" i="29"/>
  <c r="H113" i="29"/>
  <c r="BC111" i="28"/>
  <c r="C111" i="32"/>
  <c r="H111" i="32"/>
  <c r="ER75" i="28"/>
  <c r="ET75" i="28"/>
  <c r="E75" i="29"/>
  <c r="I75" i="29"/>
  <c r="F95" i="29"/>
  <c r="J95" i="29"/>
  <c r="AW113" i="28"/>
  <c r="AY113" i="28"/>
  <c r="BA113" i="28"/>
  <c r="BB113" i="28"/>
  <c r="DZ65" i="28"/>
  <c r="EI65" i="28"/>
  <c r="BC112" i="28"/>
  <c r="C112" i="32"/>
  <c r="H112" i="32"/>
  <c r="AU114" i="28"/>
  <c r="AX114" i="28"/>
  <c r="AZ114" i="28"/>
  <c r="BE114" i="28"/>
  <c r="DF114" i="28"/>
  <c r="DN65" i="28"/>
  <c r="DW65" i="28"/>
  <c r="BI75" i="28"/>
  <c r="BK75" i="28"/>
  <c r="BM75" i="28"/>
  <c r="BN75" i="28"/>
  <c r="EL77" i="28"/>
  <c r="EP76" i="28"/>
  <c r="EQ76" i="28"/>
  <c r="EM76" i="28"/>
  <c r="EN76" i="28"/>
  <c r="DB78" i="28"/>
  <c r="DK78" i="28"/>
  <c r="BU95" i="28"/>
  <c r="BW95" i="28"/>
  <c r="BY95" i="28"/>
  <c r="BZ95" i="28"/>
  <c r="BF77" i="28"/>
  <c r="BH77" i="28"/>
  <c r="BJ76" i="28"/>
  <c r="BL76" i="28"/>
  <c r="BQ76" i="28"/>
  <c r="DR76" i="28"/>
  <c r="BG76" i="28"/>
  <c r="EO75" i="28"/>
  <c r="ES75" i="28"/>
  <c r="CA94" i="28"/>
  <c r="E94" i="32"/>
  <c r="J94" i="32"/>
  <c r="BR97" i="28"/>
  <c r="BT97" i="28"/>
  <c r="BS96" i="28"/>
  <c r="BV96" i="28"/>
  <c r="BX96" i="28"/>
  <c r="CC96" i="28"/>
  <c r="ED96" i="28"/>
  <c r="BO74" i="28"/>
  <c r="D74" i="32"/>
  <c r="I74" i="32"/>
  <c r="R76" i="31"/>
  <c r="DJ77" i="28"/>
  <c r="C77" i="31"/>
  <c r="H77" i="31"/>
  <c r="EH64" i="28"/>
  <c r="E64" i="31"/>
  <c r="J64" i="31"/>
  <c r="DO65" i="28"/>
  <c r="O65" i="31"/>
  <c r="DU65" i="28"/>
  <c r="DT65" i="28"/>
  <c r="DC78" i="28"/>
  <c r="N78" i="31"/>
  <c r="DI78" i="28"/>
  <c r="DH78" i="28"/>
  <c r="DV64" i="28"/>
  <c r="D64" i="31"/>
  <c r="I64" i="31"/>
  <c r="EA65" i="28"/>
  <c r="P65" i="31"/>
  <c r="EG65" i="28"/>
  <c r="EF65" i="28"/>
  <c r="DQ74" i="28"/>
  <c r="DG114" i="28"/>
  <c r="DE111" i="28"/>
  <c r="EC94" i="28"/>
  <c r="DS76" i="28"/>
  <c r="DE112" i="28"/>
  <c r="EE96" i="28"/>
  <c r="EU75" i="28"/>
  <c r="F95" i="30"/>
  <c r="J95" i="30"/>
  <c r="CB95" i="28"/>
  <c r="EB95" i="28"/>
  <c r="D113" i="30"/>
  <c r="H113" i="30"/>
  <c r="BD113" i="28"/>
  <c r="DD113" i="28"/>
  <c r="E75" i="30"/>
  <c r="I75" i="30"/>
  <c r="BP75" i="28"/>
  <c r="DP75" i="28"/>
  <c r="F96" i="29"/>
  <c r="J96" i="29"/>
  <c r="E76" i="29"/>
  <c r="I76" i="29"/>
  <c r="D114" i="29"/>
  <c r="H114" i="29"/>
  <c r="ER76" i="28"/>
  <c r="ET76" i="28"/>
  <c r="AW114" i="28"/>
  <c r="AY114" i="28"/>
  <c r="BA114" i="28"/>
  <c r="BB114" i="28"/>
  <c r="DN66" i="28"/>
  <c r="DW66" i="28"/>
  <c r="DZ66" i="28"/>
  <c r="EI66" i="28"/>
  <c r="BC113" i="28"/>
  <c r="C113" i="32"/>
  <c r="H113" i="32"/>
  <c r="EO76" i="28"/>
  <c r="ES76" i="28"/>
  <c r="BU96" i="28"/>
  <c r="BW96" i="28"/>
  <c r="BY96" i="28"/>
  <c r="BZ96" i="28"/>
  <c r="DB79" i="28"/>
  <c r="DK79" i="28"/>
  <c r="BO75" i="28"/>
  <c r="D75" i="32"/>
  <c r="I75" i="32"/>
  <c r="BR98" i="28"/>
  <c r="BT98" i="28"/>
  <c r="BS97" i="28"/>
  <c r="BV97" i="28"/>
  <c r="BX97" i="28"/>
  <c r="CC97" i="28"/>
  <c r="ED97" i="28"/>
  <c r="BF78" i="28"/>
  <c r="BH78" i="28"/>
  <c r="BG77" i="28"/>
  <c r="BJ77" i="28"/>
  <c r="BL77" i="28"/>
  <c r="BQ77" i="28"/>
  <c r="DR77" i="28"/>
  <c r="BI76" i="28"/>
  <c r="BK76" i="28"/>
  <c r="BM76" i="28"/>
  <c r="BN76" i="28"/>
  <c r="CA95" i="28"/>
  <c r="E95" i="32"/>
  <c r="J95" i="32"/>
  <c r="EL78" i="28"/>
  <c r="EP77" i="28"/>
  <c r="EQ77" i="28"/>
  <c r="EN77" i="28"/>
  <c r="EM77" i="28"/>
  <c r="R77" i="31"/>
  <c r="DJ78" i="28"/>
  <c r="C78" i="31"/>
  <c r="H78" i="31"/>
  <c r="DV65" i="28"/>
  <c r="D65" i="31"/>
  <c r="I65" i="31"/>
  <c r="EH65" i="28"/>
  <c r="E65" i="31"/>
  <c r="J65" i="31"/>
  <c r="DC79" i="28"/>
  <c r="N79" i="31"/>
  <c r="DI79" i="28"/>
  <c r="DH79" i="28"/>
  <c r="DO66" i="28"/>
  <c r="O66" i="31"/>
  <c r="DU66" i="28"/>
  <c r="DT66" i="28"/>
  <c r="EA66" i="28"/>
  <c r="P66" i="31"/>
  <c r="EG66" i="28"/>
  <c r="EF66" i="28"/>
  <c r="DQ75" i="28"/>
  <c r="DS77" i="28"/>
  <c r="DE113" i="28"/>
  <c r="EE97" i="28"/>
  <c r="EC95" i="28"/>
  <c r="F96" i="30"/>
  <c r="J96" i="30"/>
  <c r="CB96" i="28"/>
  <c r="EB96" i="28"/>
  <c r="E76" i="30"/>
  <c r="I76" i="30"/>
  <c r="BP76" i="28"/>
  <c r="DP76" i="28"/>
  <c r="D114" i="30"/>
  <c r="H114" i="30"/>
  <c r="BD114" i="28"/>
  <c r="DD114" i="28"/>
  <c r="F97" i="29"/>
  <c r="J97" i="29"/>
  <c r="E77" i="29"/>
  <c r="I77" i="29"/>
  <c r="EO77" i="28"/>
  <c r="ES77" i="28"/>
  <c r="ER77" i="28"/>
  <c r="ET77" i="28"/>
  <c r="EU76" i="28"/>
  <c r="DN67" i="28"/>
  <c r="DW67" i="28"/>
  <c r="DZ67" i="28"/>
  <c r="EI67" i="28"/>
  <c r="BC114" i="28"/>
  <c r="C114" i="32"/>
  <c r="H114" i="32"/>
  <c r="BO76" i="28"/>
  <c r="D76" i="32"/>
  <c r="I76" i="32"/>
  <c r="BU97" i="28"/>
  <c r="BW97" i="28"/>
  <c r="BY97" i="28"/>
  <c r="BZ97" i="28"/>
  <c r="BI77" i="28"/>
  <c r="BK77" i="28"/>
  <c r="BM77" i="28"/>
  <c r="BN77" i="28"/>
  <c r="BR99" i="28"/>
  <c r="BT99" i="28"/>
  <c r="BS98" i="28"/>
  <c r="BV98" i="28"/>
  <c r="BX98" i="28"/>
  <c r="CC98" i="28"/>
  <c r="ED98" i="28"/>
  <c r="DB80" i="28"/>
  <c r="DK80" i="28"/>
  <c r="EL79" i="28"/>
  <c r="EQ78" i="28"/>
  <c r="EP78" i="28"/>
  <c r="EM78" i="28"/>
  <c r="EN78" i="28"/>
  <c r="BF79" i="28"/>
  <c r="BH79" i="28"/>
  <c r="BG78" i="28"/>
  <c r="BJ78" i="28"/>
  <c r="BL78" i="28"/>
  <c r="BQ78" i="28"/>
  <c r="DR78" i="28"/>
  <c r="CA96" i="28"/>
  <c r="E96" i="32"/>
  <c r="J96" i="32"/>
  <c r="R78" i="31"/>
  <c r="DV66" i="28"/>
  <c r="D66" i="31"/>
  <c r="I66" i="31"/>
  <c r="DJ79" i="28"/>
  <c r="C79" i="31"/>
  <c r="H79" i="31"/>
  <c r="EH66" i="28"/>
  <c r="E66" i="31"/>
  <c r="J66" i="31"/>
  <c r="DC80" i="28"/>
  <c r="N80" i="31"/>
  <c r="DI80" i="28"/>
  <c r="DH80" i="28"/>
  <c r="EA67" i="28"/>
  <c r="P67" i="31"/>
  <c r="EG67" i="28"/>
  <c r="EF67" i="28"/>
  <c r="DO67" i="28"/>
  <c r="O67" i="31"/>
  <c r="DU67" i="28"/>
  <c r="DT67" i="28"/>
  <c r="DE114" i="28"/>
  <c r="EE98" i="28"/>
  <c r="EC96" i="28"/>
  <c r="DQ76" i="28"/>
  <c r="DS78" i="28"/>
  <c r="F97" i="30"/>
  <c r="J97" i="30"/>
  <c r="CB97" i="28"/>
  <c r="EB97" i="28"/>
  <c r="E77" i="30"/>
  <c r="I77" i="30"/>
  <c r="BP77" i="28"/>
  <c r="DP77" i="28"/>
  <c r="E78" i="29"/>
  <c r="I78" i="29"/>
  <c r="ER78" i="28"/>
  <c r="ET78" i="28"/>
  <c r="EU77" i="28"/>
  <c r="F98" i="29"/>
  <c r="J98" i="29"/>
  <c r="DZ68" i="28"/>
  <c r="EI68" i="28"/>
  <c r="EO78" i="28"/>
  <c r="ES78" i="28"/>
  <c r="DN68" i="28"/>
  <c r="DW68" i="28"/>
  <c r="BU98" i="28"/>
  <c r="BW98" i="28"/>
  <c r="BY98" i="28"/>
  <c r="BZ98" i="28"/>
  <c r="BI78" i="28"/>
  <c r="BK78" i="28"/>
  <c r="BM78" i="28"/>
  <c r="BN78" i="28"/>
  <c r="EL80" i="28"/>
  <c r="EP79" i="28"/>
  <c r="EN79" i="28"/>
  <c r="EQ79" i="28"/>
  <c r="EM79" i="28"/>
  <c r="BR100" i="28"/>
  <c r="BT100" i="28"/>
  <c r="BV99" i="28"/>
  <c r="BX99" i="28"/>
  <c r="CC99" i="28"/>
  <c r="ED99" i="28"/>
  <c r="BS99" i="28"/>
  <c r="BF80" i="28"/>
  <c r="BH80" i="28"/>
  <c r="BJ79" i="28"/>
  <c r="BL79" i="28"/>
  <c r="BQ79" i="28"/>
  <c r="DR79" i="28"/>
  <c r="BG79" i="28"/>
  <c r="BO77" i="28"/>
  <c r="D77" i="32"/>
  <c r="I77" i="32"/>
  <c r="CA97" i="28"/>
  <c r="E97" i="32"/>
  <c r="J97" i="32"/>
  <c r="DB81" i="28"/>
  <c r="DK81" i="28"/>
  <c r="R79" i="31"/>
  <c r="DV67" i="28"/>
  <c r="D67" i="31"/>
  <c r="I67" i="31"/>
  <c r="EH67" i="28"/>
  <c r="E67" i="31"/>
  <c r="J67" i="31"/>
  <c r="DJ80" i="28"/>
  <c r="C80" i="31"/>
  <c r="H80" i="31"/>
  <c r="EA68" i="28"/>
  <c r="P68" i="31"/>
  <c r="EG68" i="28"/>
  <c r="EF68" i="28"/>
  <c r="DC81" i="28"/>
  <c r="N81" i="31"/>
  <c r="DI81" i="28"/>
  <c r="DH81" i="28"/>
  <c r="DO68" i="28"/>
  <c r="O68" i="31"/>
  <c r="DU68" i="28"/>
  <c r="DT68" i="28"/>
  <c r="EE99" i="28"/>
  <c r="EC97" i="28"/>
  <c r="DQ77" i="28"/>
  <c r="DS79" i="28"/>
  <c r="F98" i="30"/>
  <c r="J98" i="30"/>
  <c r="CB98" i="28"/>
  <c r="EB98" i="28"/>
  <c r="E78" i="30"/>
  <c r="I78" i="30"/>
  <c r="BP78" i="28"/>
  <c r="DP78" i="28"/>
  <c r="EU78" i="28"/>
  <c r="F99" i="29"/>
  <c r="J99" i="29"/>
  <c r="EO79" i="28"/>
  <c r="ES79" i="28"/>
  <c r="E79" i="29"/>
  <c r="I79" i="29"/>
  <c r="DZ69" i="28"/>
  <c r="EI69" i="28"/>
  <c r="ER79" i="28"/>
  <c r="ET79" i="28"/>
  <c r="DN69" i="28"/>
  <c r="DW69" i="28"/>
  <c r="DB82" i="28"/>
  <c r="DK82" i="28"/>
  <c r="BU99" i="28"/>
  <c r="BW99" i="28"/>
  <c r="BY99" i="28"/>
  <c r="BZ99" i="28"/>
  <c r="BI79" i="28"/>
  <c r="BK79" i="28"/>
  <c r="BM79" i="28"/>
  <c r="BN79" i="28"/>
  <c r="CA98" i="28"/>
  <c r="E98" i="32"/>
  <c r="J98" i="32"/>
  <c r="BF81" i="28"/>
  <c r="BH81" i="28"/>
  <c r="BG80" i="28"/>
  <c r="BJ80" i="28"/>
  <c r="BL80" i="28"/>
  <c r="BQ80" i="28"/>
  <c r="DR80" i="28"/>
  <c r="BR101" i="28"/>
  <c r="BT101" i="28"/>
  <c r="BV100" i="28"/>
  <c r="BX100" i="28"/>
  <c r="CC100" i="28"/>
  <c r="ED100" i="28"/>
  <c r="BS100" i="28"/>
  <c r="EL81" i="28"/>
  <c r="EQ80" i="28"/>
  <c r="EP80" i="28"/>
  <c r="EM80" i="28"/>
  <c r="EN80" i="28"/>
  <c r="BO78" i="28"/>
  <c r="D78" i="32"/>
  <c r="I78" i="32"/>
  <c r="R80" i="31"/>
  <c r="EH68" i="28"/>
  <c r="E68" i="31"/>
  <c r="J68" i="31"/>
  <c r="DV68" i="28"/>
  <c r="D68" i="31"/>
  <c r="I68" i="31"/>
  <c r="DJ81" i="28"/>
  <c r="C81" i="31"/>
  <c r="H81" i="31"/>
  <c r="EA69" i="28"/>
  <c r="P69" i="31"/>
  <c r="EG69" i="28"/>
  <c r="EF69" i="28"/>
  <c r="DC82" i="28"/>
  <c r="N82" i="31"/>
  <c r="DI82" i="28"/>
  <c r="DH82" i="28"/>
  <c r="DO69" i="28"/>
  <c r="O69" i="31"/>
  <c r="DU69" i="28"/>
  <c r="DT69" i="28"/>
  <c r="DS80" i="28"/>
  <c r="DQ78" i="28"/>
  <c r="EE100" i="28"/>
  <c r="EC98" i="28"/>
  <c r="F99" i="30"/>
  <c r="J99" i="30"/>
  <c r="CB99" i="28"/>
  <c r="EB99" i="28"/>
  <c r="E79" i="30"/>
  <c r="I79" i="30"/>
  <c r="BP79" i="28"/>
  <c r="DP79" i="28"/>
  <c r="F100" i="29"/>
  <c r="J100" i="29"/>
  <c r="EU79" i="28"/>
  <c r="E80" i="29"/>
  <c r="I80" i="29"/>
  <c r="EO80" i="28"/>
  <c r="ES80" i="28"/>
  <c r="ER80" i="28"/>
  <c r="ET80" i="28"/>
  <c r="DN70" i="28"/>
  <c r="DW70" i="28"/>
  <c r="DZ70" i="28"/>
  <c r="EI70" i="28"/>
  <c r="BO79" i="28"/>
  <c r="D79" i="32"/>
  <c r="I79" i="32"/>
  <c r="BI80" i="28"/>
  <c r="BK80" i="28"/>
  <c r="BM80" i="28"/>
  <c r="BN80" i="28"/>
  <c r="CA99" i="28"/>
  <c r="E99" i="32"/>
  <c r="J99" i="32"/>
  <c r="DB83" i="28"/>
  <c r="DK83" i="28"/>
  <c r="BU100" i="28"/>
  <c r="BW100" i="28"/>
  <c r="BY100" i="28"/>
  <c r="BZ100" i="28"/>
  <c r="EL82" i="28"/>
  <c r="EQ81" i="28"/>
  <c r="EP81" i="28"/>
  <c r="EN81" i="28"/>
  <c r="EM81" i="28"/>
  <c r="BR102" i="28"/>
  <c r="BT102" i="28"/>
  <c r="BV101" i="28"/>
  <c r="BX101" i="28"/>
  <c r="CC101" i="28"/>
  <c r="ED101" i="28"/>
  <c r="BS101" i="28"/>
  <c r="BF82" i="28"/>
  <c r="BH82" i="28"/>
  <c r="BJ81" i="28"/>
  <c r="BL81" i="28"/>
  <c r="BQ81" i="28"/>
  <c r="DR81" i="28"/>
  <c r="BG81" i="28"/>
  <c r="R81" i="31"/>
  <c r="EH69" i="28"/>
  <c r="E69" i="31"/>
  <c r="J69" i="31"/>
  <c r="DV69" i="28"/>
  <c r="D69" i="31"/>
  <c r="I69" i="31"/>
  <c r="DC83" i="28"/>
  <c r="N83" i="31"/>
  <c r="DI83" i="28"/>
  <c r="DH83" i="28"/>
  <c r="DO70" i="28"/>
  <c r="O70" i="31"/>
  <c r="DU70" i="28"/>
  <c r="DT70" i="28"/>
  <c r="EA70" i="28"/>
  <c r="P70" i="31"/>
  <c r="EG70" i="28"/>
  <c r="EF70" i="28"/>
  <c r="DJ82" i="28"/>
  <c r="C82" i="31"/>
  <c r="H82" i="31"/>
  <c r="EE101" i="28"/>
  <c r="DQ79" i="28"/>
  <c r="EC99" i="28"/>
  <c r="DS81" i="28"/>
  <c r="F101" i="29"/>
  <c r="J101" i="29"/>
  <c r="F100" i="30"/>
  <c r="J100" i="30"/>
  <c r="CB100" i="28"/>
  <c r="EB100" i="28"/>
  <c r="E80" i="30"/>
  <c r="I80" i="30"/>
  <c r="BP80" i="28"/>
  <c r="DP80" i="28"/>
  <c r="E81" i="29"/>
  <c r="I81" i="29"/>
  <c r="EU80" i="28"/>
  <c r="ER81" i="28"/>
  <c r="ET81" i="28"/>
  <c r="EO81" i="28"/>
  <c r="ES81" i="28"/>
  <c r="DZ71" i="28"/>
  <c r="EI71" i="28"/>
  <c r="DN71" i="28"/>
  <c r="DW71" i="28"/>
  <c r="BR103" i="28"/>
  <c r="BT103" i="28"/>
  <c r="BV102" i="28"/>
  <c r="BX102" i="28"/>
  <c r="CC102" i="28"/>
  <c r="ED102" i="28"/>
  <c r="BS102" i="28"/>
  <c r="BO80" i="28"/>
  <c r="D80" i="32"/>
  <c r="I80" i="32"/>
  <c r="DB84" i="28"/>
  <c r="DK84" i="28"/>
  <c r="BF83" i="28"/>
  <c r="BH83" i="28"/>
  <c r="BJ82" i="28"/>
  <c r="BL82" i="28"/>
  <c r="BQ82" i="28"/>
  <c r="DR82" i="28"/>
  <c r="BG82" i="28"/>
  <c r="BU101" i="28"/>
  <c r="BW101" i="28"/>
  <c r="BY101" i="28"/>
  <c r="BZ101" i="28"/>
  <c r="CA100" i="28"/>
  <c r="E100" i="32"/>
  <c r="J100" i="32"/>
  <c r="BI81" i="28"/>
  <c r="BK81" i="28"/>
  <c r="BM81" i="28"/>
  <c r="BN81" i="28"/>
  <c r="EL83" i="28"/>
  <c r="EQ82" i="28"/>
  <c r="EP82" i="28"/>
  <c r="EN82" i="28"/>
  <c r="EM82" i="28"/>
  <c r="R82" i="31"/>
  <c r="DV70" i="28"/>
  <c r="D70" i="31"/>
  <c r="I70" i="31"/>
  <c r="DJ83" i="28"/>
  <c r="C83" i="31"/>
  <c r="H83" i="31"/>
  <c r="EH70" i="28"/>
  <c r="E70" i="31"/>
  <c r="J70" i="31"/>
  <c r="EA71" i="28"/>
  <c r="P71" i="31"/>
  <c r="EG71" i="28"/>
  <c r="EF71" i="28"/>
  <c r="DO71" i="28"/>
  <c r="O71" i="31"/>
  <c r="DU71" i="28"/>
  <c r="DT71" i="28"/>
  <c r="DC84" i="28"/>
  <c r="N84" i="31"/>
  <c r="DI84" i="28"/>
  <c r="DH84" i="28"/>
  <c r="DQ80" i="28"/>
  <c r="EE102" i="28"/>
  <c r="EC100" i="28"/>
  <c r="DS82" i="28"/>
  <c r="F101" i="30"/>
  <c r="J101" i="30"/>
  <c r="CB101" i="28"/>
  <c r="EB101" i="28"/>
  <c r="E81" i="30"/>
  <c r="I81" i="30"/>
  <c r="BP81" i="28"/>
  <c r="DP81" i="28"/>
  <c r="E82" i="29"/>
  <c r="I82" i="29"/>
  <c r="EU81" i="28"/>
  <c r="F102" i="29"/>
  <c r="J102" i="29"/>
  <c r="EO82" i="28"/>
  <c r="ES82" i="28"/>
  <c r="DZ72" i="28"/>
  <c r="EI72" i="28"/>
  <c r="ER82" i="28"/>
  <c r="ET82" i="28"/>
  <c r="DN72" i="28"/>
  <c r="DW72" i="28"/>
  <c r="BI82" i="28"/>
  <c r="BK82" i="28"/>
  <c r="BM82" i="28"/>
  <c r="BN82" i="28"/>
  <c r="DB85" i="28"/>
  <c r="DK85" i="28"/>
  <c r="BU102" i="28"/>
  <c r="BW102" i="28"/>
  <c r="BY102" i="28"/>
  <c r="BZ102" i="28"/>
  <c r="BO81" i="28"/>
  <c r="D81" i="32"/>
  <c r="I81" i="32"/>
  <c r="CA101" i="28"/>
  <c r="E101" i="32"/>
  <c r="J101" i="32"/>
  <c r="EP83" i="28"/>
  <c r="EL84" i="28"/>
  <c r="EQ83" i="28"/>
  <c r="EM83" i="28"/>
  <c r="EN83" i="28"/>
  <c r="BF84" i="28"/>
  <c r="BH84" i="28"/>
  <c r="BG83" i="28"/>
  <c r="BJ83" i="28"/>
  <c r="BL83" i="28"/>
  <c r="BQ83" i="28"/>
  <c r="DR83" i="28"/>
  <c r="BR104" i="28"/>
  <c r="BT104" i="28"/>
  <c r="BV103" i="28"/>
  <c r="BX103" i="28"/>
  <c r="CC103" i="28"/>
  <c r="ED103" i="28"/>
  <c r="BS103" i="28"/>
  <c r="R83" i="31"/>
  <c r="DJ84" i="28"/>
  <c r="C84" i="31"/>
  <c r="H84" i="31"/>
  <c r="EH71" i="28"/>
  <c r="E71" i="31"/>
  <c r="J71" i="31"/>
  <c r="DO72" i="28"/>
  <c r="O72" i="31"/>
  <c r="DU72" i="28"/>
  <c r="DT72" i="28"/>
  <c r="DC85" i="28"/>
  <c r="N85" i="31"/>
  <c r="DI85" i="28"/>
  <c r="DH85" i="28"/>
  <c r="EA72" i="28"/>
  <c r="P72" i="31"/>
  <c r="EG72" i="28"/>
  <c r="EF72" i="28"/>
  <c r="DV71" i="28"/>
  <c r="D71" i="31"/>
  <c r="I71" i="31"/>
  <c r="DQ81" i="28"/>
  <c r="DS83" i="28"/>
  <c r="EC101" i="28"/>
  <c r="EE103" i="28"/>
  <c r="F102" i="30"/>
  <c r="J102" i="30"/>
  <c r="CB102" i="28"/>
  <c r="EB102" i="28"/>
  <c r="E82" i="30"/>
  <c r="I82" i="30"/>
  <c r="BP82" i="28"/>
  <c r="DP82" i="28"/>
  <c r="F103" i="29"/>
  <c r="J103" i="29"/>
  <c r="E83" i="29"/>
  <c r="I83" i="29"/>
  <c r="EU82" i="28"/>
  <c r="ER83" i="28"/>
  <c r="ET83" i="28"/>
  <c r="DN73" i="28"/>
  <c r="DW73" i="28"/>
  <c r="EO83" i="28"/>
  <c r="ES83" i="28"/>
  <c r="DZ73" i="28"/>
  <c r="EI73" i="28"/>
  <c r="BO82" i="28"/>
  <c r="D82" i="32"/>
  <c r="I82" i="32"/>
  <c r="DB86" i="28"/>
  <c r="DK86" i="28"/>
  <c r="BU103" i="28"/>
  <c r="BW103" i="28"/>
  <c r="BY103" i="28"/>
  <c r="BZ103" i="28"/>
  <c r="BR105" i="28"/>
  <c r="BT105" i="28"/>
  <c r="BV104" i="28"/>
  <c r="BX104" i="28"/>
  <c r="CC104" i="28"/>
  <c r="ED104" i="28"/>
  <c r="BS104" i="28"/>
  <c r="BI83" i="28"/>
  <c r="BK83" i="28"/>
  <c r="BM83" i="28"/>
  <c r="BN83" i="28"/>
  <c r="EL85" i="28"/>
  <c r="EP84" i="28"/>
  <c r="EM84" i="28"/>
  <c r="EQ84" i="28"/>
  <c r="EN84" i="28"/>
  <c r="BF85" i="28"/>
  <c r="BH85" i="28"/>
  <c r="BJ84" i="28"/>
  <c r="BL84" i="28"/>
  <c r="BQ84" i="28"/>
  <c r="DR84" i="28"/>
  <c r="BG84" i="28"/>
  <c r="CA102" i="28"/>
  <c r="E102" i="32"/>
  <c r="J102" i="32"/>
  <c r="R84" i="31"/>
  <c r="DV72" i="28"/>
  <c r="D72" i="31"/>
  <c r="I72" i="31"/>
  <c r="EH72" i="28"/>
  <c r="E72" i="31"/>
  <c r="J72" i="31"/>
  <c r="DC86" i="28"/>
  <c r="N86" i="31"/>
  <c r="DI86" i="28"/>
  <c r="DH86" i="28"/>
  <c r="EA73" i="28"/>
  <c r="P73" i="31"/>
  <c r="EG73" i="28"/>
  <c r="EF73" i="28"/>
  <c r="DO73" i="28"/>
  <c r="O73" i="31"/>
  <c r="DU73" i="28"/>
  <c r="DT73" i="28"/>
  <c r="DJ85" i="28"/>
  <c r="C85" i="31"/>
  <c r="H85" i="31"/>
  <c r="EE104" i="28"/>
  <c r="DQ82" i="28"/>
  <c r="EC102" i="28"/>
  <c r="DS84" i="28"/>
  <c r="F103" i="30"/>
  <c r="J103" i="30"/>
  <c r="CB103" i="28"/>
  <c r="EB103" i="28"/>
  <c r="E83" i="30"/>
  <c r="I83" i="30"/>
  <c r="BP83" i="28"/>
  <c r="DP83" i="28"/>
  <c r="EU83" i="28"/>
  <c r="E84" i="29"/>
  <c r="I84" i="29"/>
  <c r="F104" i="29"/>
  <c r="J104" i="29"/>
  <c r="ER84" i="28"/>
  <c r="ET84" i="28"/>
  <c r="DZ74" i="28"/>
  <c r="EI74" i="28"/>
  <c r="DN74" i="28"/>
  <c r="DW74" i="28"/>
  <c r="BI84" i="28"/>
  <c r="BK84" i="28"/>
  <c r="BM84" i="28"/>
  <c r="BN84" i="28"/>
  <c r="BO83" i="28"/>
  <c r="D83" i="32"/>
  <c r="I83" i="32"/>
  <c r="BR106" i="28"/>
  <c r="BT106" i="28"/>
  <c r="BV105" i="28"/>
  <c r="BX105" i="28"/>
  <c r="CC105" i="28"/>
  <c r="ED105" i="28"/>
  <c r="BS105" i="28"/>
  <c r="DB87" i="28"/>
  <c r="DK87" i="28"/>
  <c r="EL86" i="28"/>
  <c r="EP85" i="28"/>
  <c r="EQ85" i="28"/>
  <c r="EM85" i="28"/>
  <c r="EN85" i="28"/>
  <c r="BF86" i="28"/>
  <c r="BH86" i="28"/>
  <c r="BG85" i="28"/>
  <c r="BJ85" i="28"/>
  <c r="BL85" i="28"/>
  <c r="BQ85" i="28"/>
  <c r="DR85" i="28"/>
  <c r="EO84" i="28"/>
  <c r="ES84" i="28"/>
  <c r="BU104" i="28"/>
  <c r="BW104" i="28"/>
  <c r="BY104" i="28"/>
  <c r="BZ104" i="28"/>
  <c r="CA103" i="28"/>
  <c r="E103" i="32"/>
  <c r="J103" i="32"/>
  <c r="R85" i="31"/>
  <c r="DJ86" i="28"/>
  <c r="C86" i="31"/>
  <c r="H86" i="31"/>
  <c r="DV73" i="28"/>
  <c r="D73" i="31"/>
  <c r="I73" i="31"/>
  <c r="EH73" i="28"/>
  <c r="E73" i="31"/>
  <c r="J73" i="31"/>
  <c r="DC87" i="28"/>
  <c r="N87" i="31"/>
  <c r="DI87" i="28"/>
  <c r="DH87" i="28"/>
  <c r="DO74" i="28"/>
  <c r="O74" i="31"/>
  <c r="DU74" i="28"/>
  <c r="DT74" i="28"/>
  <c r="EA74" i="28"/>
  <c r="P74" i="31"/>
  <c r="EG74" i="28"/>
  <c r="EF74" i="28"/>
  <c r="EE105" i="28"/>
  <c r="DQ83" i="28"/>
  <c r="DS85" i="28"/>
  <c r="EC103" i="28"/>
  <c r="F105" i="29"/>
  <c r="J105" i="29"/>
  <c r="F104" i="30"/>
  <c r="J104" i="30"/>
  <c r="CB104" i="28"/>
  <c r="EB104" i="28"/>
  <c r="E85" i="29"/>
  <c r="I85" i="29"/>
  <c r="E84" i="30"/>
  <c r="I84" i="30"/>
  <c r="BP84" i="28"/>
  <c r="DP84" i="28"/>
  <c r="EU84" i="28"/>
  <c r="ER85" i="28"/>
  <c r="ET85" i="28"/>
  <c r="EO85" i="28"/>
  <c r="ES85" i="28"/>
  <c r="DN75" i="28"/>
  <c r="DW75" i="28"/>
  <c r="DZ75" i="28"/>
  <c r="EI75" i="28"/>
  <c r="BF87" i="28"/>
  <c r="BH87" i="28"/>
  <c r="BJ86" i="28"/>
  <c r="BL86" i="28"/>
  <c r="BQ86" i="28"/>
  <c r="DR86" i="28"/>
  <c r="BG86" i="28"/>
  <c r="BU105" i="28"/>
  <c r="BW105" i="28"/>
  <c r="BY105" i="28"/>
  <c r="BZ105" i="28"/>
  <c r="DB88" i="28"/>
  <c r="DK88" i="28"/>
  <c r="BO84" i="28"/>
  <c r="D84" i="32"/>
  <c r="I84" i="32"/>
  <c r="CA104" i="28"/>
  <c r="E104" i="32"/>
  <c r="J104" i="32"/>
  <c r="BI85" i="28"/>
  <c r="BK85" i="28"/>
  <c r="BM85" i="28"/>
  <c r="BN85" i="28"/>
  <c r="EL87" i="28"/>
  <c r="EP86" i="28"/>
  <c r="EQ86" i="28"/>
  <c r="EN86" i="28"/>
  <c r="EM86" i="28"/>
  <c r="BR107" i="28"/>
  <c r="BT107" i="28"/>
  <c r="BV106" i="28"/>
  <c r="BX106" i="28"/>
  <c r="CC106" i="28"/>
  <c r="ED106" i="28"/>
  <c r="BS106" i="28"/>
  <c r="R86" i="31"/>
  <c r="DV74" i="28"/>
  <c r="D74" i="31"/>
  <c r="I74" i="31"/>
  <c r="DJ87" i="28"/>
  <c r="C87" i="31"/>
  <c r="H87" i="31"/>
  <c r="EH74" i="28"/>
  <c r="E74" i="31"/>
  <c r="J74" i="31"/>
  <c r="DC88" i="28"/>
  <c r="N88" i="31"/>
  <c r="DI88" i="28"/>
  <c r="DH88" i="28"/>
  <c r="DO75" i="28"/>
  <c r="O75" i="31"/>
  <c r="DU75" i="28"/>
  <c r="DT75" i="28"/>
  <c r="EA75" i="28"/>
  <c r="P75" i="31"/>
  <c r="EG75" i="28"/>
  <c r="EF75" i="28"/>
  <c r="DS86" i="28"/>
  <c r="EC104" i="28"/>
  <c r="DQ84" i="28"/>
  <c r="EE106" i="28"/>
  <c r="F105" i="30"/>
  <c r="J105" i="30"/>
  <c r="CB105" i="28"/>
  <c r="EB105" i="28"/>
  <c r="E85" i="30"/>
  <c r="I85" i="30"/>
  <c r="BP85" i="28"/>
  <c r="DP85" i="28"/>
  <c r="EU85" i="28"/>
  <c r="F106" i="29"/>
  <c r="J106" i="29"/>
  <c r="E86" i="29"/>
  <c r="I86" i="29"/>
  <c r="ER86" i="28"/>
  <c r="ET86" i="28"/>
  <c r="DZ76" i="28"/>
  <c r="EI76" i="28"/>
  <c r="DN76" i="28"/>
  <c r="DW76" i="28"/>
  <c r="BU106" i="28"/>
  <c r="BW106" i="28"/>
  <c r="BY106" i="28"/>
  <c r="BZ106" i="28"/>
  <c r="EL88" i="28"/>
  <c r="EQ87" i="28"/>
  <c r="EP87" i="28"/>
  <c r="EM87" i="28"/>
  <c r="EN87" i="28"/>
  <c r="BF88" i="28"/>
  <c r="BH88" i="28"/>
  <c r="BJ87" i="28"/>
  <c r="BL87" i="28"/>
  <c r="BQ87" i="28"/>
  <c r="DR87" i="28"/>
  <c r="BG87" i="28"/>
  <c r="BR108" i="28"/>
  <c r="BT108" i="28"/>
  <c r="BV107" i="28"/>
  <c r="BX107" i="28"/>
  <c r="CC107" i="28"/>
  <c r="ED107" i="28"/>
  <c r="BS107" i="28"/>
  <c r="DB89" i="28"/>
  <c r="DK89" i="28"/>
  <c r="CA105" i="28"/>
  <c r="E105" i="32"/>
  <c r="J105" i="32"/>
  <c r="BO85" i="28"/>
  <c r="D85" i="32"/>
  <c r="I85" i="32"/>
  <c r="EO86" i="28"/>
  <c r="ES86" i="28"/>
  <c r="BI86" i="28"/>
  <c r="BK86" i="28"/>
  <c r="BM86" i="28"/>
  <c r="BN86" i="28"/>
  <c r="R87" i="31"/>
  <c r="DJ88" i="28"/>
  <c r="C88" i="31"/>
  <c r="H88" i="31"/>
  <c r="EH75" i="28"/>
  <c r="E75" i="31"/>
  <c r="J75" i="31"/>
  <c r="DC89" i="28"/>
  <c r="N89" i="31"/>
  <c r="DI89" i="28"/>
  <c r="DH89" i="28"/>
  <c r="DO76" i="28"/>
  <c r="O76" i="31"/>
  <c r="DU76" i="28"/>
  <c r="DT76" i="28"/>
  <c r="EA76" i="28"/>
  <c r="P76" i="31"/>
  <c r="EG76" i="28"/>
  <c r="EF76" i="28"/>
  <c r="DV75" i="28"/>
  <c r="D75" i="31"/>
  <c r="I75" i="31"/>
  <c r="EE107" i="28"/>
  <c r="DQ85" i="28"/>
  <c r="EC105" i="28"/>
  <c r="DS87" i="28"/>
  <c r="F106" i="30"/>
  <c r="J106" i="30"/>
  <c r="CB106" i="28"/>
  <c r="EB106" i="28"/>
  <c r="E86" i="30"/>
  <c r="I86" i="30"/>
  <c r="BP86" i="28"/>
  <c r="DP86" i="28"/>
  <c r="EU86" i="28"/>
  <c r="E87" i="29"/>
  <c r="I87" i="29"/>
  <c r="F107" i="29"/>
  <c r="J107" i="29"/>
  <c r="EO87" i="28"/>
  <c r="ES87" i="28"/>
  <c r="DZ77" i="28"/>
  <c r="EI77" i="28"/>
  <c r="ER87" i="28"/>
  <c r="ET87" i="28"/>
  <c r="DN77" i="28"/>
  <c r="DW77" i="28"/>
  <c r="BF89" i="28"/>
  <c r="BH89" i="28"/>
  <c r="BJ88" i="28"/>
  <c r="BL88" i="28"/>
  <c r="BQ88" i="28"/>
  <c r="DR88" i="28"/>
  <c r="BG88" i="28"/>
  <c r="BR109" i="28"/>
  <c r="BT109" i="28"/>
  <c r="BV108" i="28"/>
  <c r="BX108" i="28"/>
  <c r="CC108" i="28"/>
  <c r="ED108" i="28"/>
  <c r="BS108" i="28"/>
  <c r="DB90" i="28"/>
  <c r="DK90" i="28"/>
  <c r="BI87" i="28"/>
  <c r="BK87" i="28"/>
  <c r="BM87" i="28"/>
  <c r="BN87" i="28"/>
  <c r="CA106" i="28"/>
  <c r="E106" i="32"/>
  <c r="J106" i="32"/>
  <c r="BO86" i="28"/>
  <c r="D86" i="32"/>
  <c r="I86" i="32"/>
  <c r="BU107" i="28"/>
  <c r="BW107" i="28"/>
  <c r="BY107" i="28"/>
  <c r="BZ107" i="28"/>
  <c r="EL89" i="28"/>
  <c r="EQ88" i="28"/>
  <c r="EP88" i="28"/>
  <c r="EM88" i="28"/>
  <c r="EN88" i="28"/>
  <c r="R88" i="31"/>
  <c r="DJ89" i="28"/>
  <c r="C89" i="31"/>
  <c r="H89" i="31"/>
  <c r="EH76" i="28"/>
  <c r="E76" i="31"/>
  <c r="J76" i="31"/>
  <c r="EA77" i="28"/>
  <c r="P77" i="31"/>
  <c r="EG77" i="28"/>
  <c r="EF77" i="28"/>
  <c r="DC90" i="28"/>
  <c r="N90" i="31"/>
  <c r="DI90" i="28"/>
  <c r="DH90" i="28"/>
  <c r="DO77" i="28"/>
  <c r="O77" i="31"/>
  <c r="DU77" i="28"/>
  <c r="DT77" i="28"/>
  <c r="DV76" i="28"/>
  <c r="D76" i="31"/>
  <c r="I76" i="31"/>
  <c r="EE108" i="28"/>
  <c r="DQ86" i="28"/>
  <c r="DS88" i="28"/>
  <c r="EC106" i="28"/>
  <c r="F107" i="30"/>
  <c r="J107" i="30"/>
  <c r="CB107" i="28"/>
  <c r="EB107" i="28"/>
  <c r="E87" i="30"/>
  <c r="I87" i="30"/>
  <c r="BP87" i="28"/>
  <c r="DP87" i="28"/>
  <c r="F108" i="29"/>
  <c r="J108" i="29"/>
  <c r="E88" i="29"/>
  <c r="I88" i="29"/>
  <c r="EO88" i="28"/>
  <c r="ES88" i="28"/>
  <c r="ER88" i="28"/>
  <c r="ET88" i="28"/>
  <c r="DZ78" i="28"/>
  <c r="EI78" i="28"/>
  <c r="EU87" i="28"/>
  <c r="DN78" i="28"/>
  <c r="DW78" i="28"/>
  <c r="CA107" i="28"/>
  <c r="E107" i="32"/>
  <c r="J107" i="32"/>
  <c r="DB91" i="28"/>
  <c r="DK91" i="28"/>
  <c r="BR110" i="28"/>
  <c r="BT110" i="28"/>
  <c r="BV109" i="28"/>
  <c r="BX109" i="28"/>
  <c r="CC109" i="28"/>
  <c r="ED109" i="28"/>
  <c r="BS109" i="28"/>
  <c r="BI88" i="28"/>
  <c r="BK88" i="28"/>
  <c r="BM88" i="28"/>
  <c r="BN88" i="28"/>
  <c r="EL90" i="28"/>
  <c r="EQ89" i="28"/>
  <c r="EP89" i="28"/>
  <c r="EM89" i="28"/>
  <c r="EN89" i="28"/>
  <c r="BF90" i="28"/>
  <c r="BH90" i="28"/>
  <c r="BJ89" i="28"/>
  <c r="BL89" i="28"/>
  <c r="BQ89" i="28"/>
  <c r="DR89" i="28"/>
  <c r="BG89" i="28"/>
  <c r="BO87" i="28"/>
  <c r="D87" i="32"/>
  <c r="I87" i="32"/>
  <c r="BU108" i="28"/>
  <c r="BW108" i="28"/>
  <c r="BY108" i="28"/>
  <c r="BZ108" i="28"/>
  <c r="R89" i="31"/>
  <c r="DV77" i="28"/>
  <c r="D77" i="31"/>
  <c r="I77" i="31"/>
  <c r="EH77" i="28"/>
  <c r="E77" i="31"/>
  <c r="J77" i="31"/>
  <c r="EA78" i="28"/>
  <c r="P78" i="31"/>
  <c r="EG78" i="28"/>
  <c r="EF78" i="28"/>
  <c r="DJ90" i="28"/>
  <c r="C90" i="31"/>
  <c r="H90" i="31"/>
  <c r="DC91" i="28"/>
  <c r="N91" i="31"/>
  <c r="DI91" i="28"/>
  <c r="DH91" i="28"/>
  <c r="DO78" i="28"/>
  <c r="O78" i="31"/>
  <c r="DU78" i="28"/>
  <c r="DT78" i="28"/>
  <c r="EE109" i="28"/>
  <c r="DQ87" i="28"/>
  <c r="EC107" i="28"/>
  <c r="DS89" i="28"/>
  <c r="F108" i="30"/>
  <c r="J108" i="30"/>
  <c r="CB108" i="28"/>
  <c r="EB108" i="28"/>
  <c r="E88" i="30"/>
  <c r="I88" i="30"/>
  <c r="BP88" i="28"/>
  <c r="DP88" i="28"/>
  <c r="F109" i="29"/>
  <c r="J109" i="29"/>
  <c r="EU88" i="28"/>
  <c r="ER89" i="28"/>
  <c r="ET89" i="28"/>
  <c r="E89" i="29"/>
  <c r="I89" i="29"/>
  <c r="DZ79" i="28"/>
  <c r="EI79" i="28"/>
  <c r="DN79" i="28"/>
  <c r="DW79" i="28"/>
  <c r="BO88" i="28"/>
  <c r="D88" i="32"/>
  <c r="I88" i="32"/>
  <c r="BR111" i="28"/>
  <c r="BT111" i="28"/>
  <c r="BV110" i="28"/>
  <c r="BX110" i="28"/>
  <c r="CC110" i="28"/>
  <c r="ED110" i="28"/>
  <c r="BS110" i="28"/>
  <c r="BF91" i="28"/>
  <c r="BH91" i="28"/>
  <c r="BJ90" i="28"/>
  <c r="BL90" i="28"/>
  <c r="BQ90" i="28"/>
  <c r="DR90" i="28"/>
  <c r="BG90" i="28"/>
  <c r="EL91" i="28"/>
  <c r="EP90" i="28"/>
  <c r="EQ90" i="28"/>
  <c r="EM90" i="28"/>
  <c r="EN90" i="28"/>
  <c r="CA108" i="28"/>
  <c r="E108" i="32"/>
  <c r="J108" i="32"/>
  <c r="BI89" i="28"/>
  <c r="BK89" i="28"/>
  <c r="BM89" i="28"/>
  <c r="BN89" i="28"/>
  <c r="EO89" i="28"/>
  <c r="ES89" i="28"/>
  <c r="BU109" i="28"/>
  <c r="BW109" i="28"/>
  <c r="BY109" i="28"/>
  <c r="BZ109" i="28"/>
  <c r="DB92" i="28"/>
  <c r="DK92" i="28"/>
  <c r="R90" i="31"/>
  <c r="EH78" i="28"/>
  <c r="E78" i="31"/>
  <c r="J78" i="31"/>
  <c r="DV78" i="28"/>
  <c r="D78" i="31"/>
  <c r="I78" i="31"/>
  <c r="EA79" i="28"/>
  <c r="P79" i="31"/>
  <c r="EG79" i="28"/>
  <c r="EF79" i="28"/>
  <c r="DC92" i="28"/>
  <c r="N92" i="31"/>
  <c r="DI92" i="28"/>
  <c r="DH92" i="28"/>
  <c r="DO79" i="28"/>
  <c r="O79" i="31"/>
  <c r="DU79" i="28"/>
  <c r="DT79" i="28"/>
  <c r="DJ91" i="28"/>
  <c r="C91" i="31"/>
  <c r="H91" i="31"/>
  <c r="EU89" i="28"/>
  <c r="DQ88" i="28"/>
  <c r="DS90" i="28"/>
  <c r="EE110" i="28"/>
  <c r="EC108" i="28"/>
  <c r="F109" i="30"/>
  <c r="J109" i="30"/>
  <c r="CB109" i="28"/>
  <c r="EB109" i="28"/>
  <c r="F110" i="29"/>
  <c r="J110" i="29"/>
  <c r="E89" i="30"/>
  <c r="I89" i="30"/>
  <c r="BP89" i="28"/>
  <c r="DP89" i="28"/>
  <c r="E90" i="29"/>
  <c r="I90" i="29"/>
  <c r="DN80" i="28"/>
  <c r="DW80" i="28"/>
  <c r="ER90" i="28"/>
  <c r="ET90" i="28"/>
  <c r="DZ80" i="28"/>
  <c r="EI80" i="28"/>
  <c r="BI90" i="28"/>
  <c r="BK90" i="28"/>
  <c r="BM90" i="28"/>
  <c r="BN90" i="28"/>
  <c r="CA109" i="28"/>
  <c r="E109" i="32"/>
  <c r="J109" i="32"/>
  <c r="BR112" i="28"/>
  <c r="BT112" i="28"/>
  <c r="BS111" i="28"/>
  <c r="BV111" i="28"/>
  <c r="BX111" i="28"/>
  <c r="CC111" i="28"/>
  <c r="ED111" i="28"/>
  <c r="DB93" i="28"/>
  <c r="DK93" i="28"/>
  <c r="EO90" i="28"/>
  <c r="ES90" i="28"/>
  <c r="BF92" i="28"/>
  <c r="BH92" i="28"/>
  <c r="BJ91" i="28"/>
  <c r="BL91" i="28"/>
  <c r="BQ91" i="28"/>
  <c r="DR91" i="28"/>
  <c r="BG91" i="28"/>
  <c r="EL92" i="28"/>
  <c r="EQ91" i="28"/>
  <c r="EP91" i="28"/>
  <c r="EN91" i="28"/>
  <c r="EM91" i="28"/>
  <c r="BO89" i="28"/>
  <c r="D89" i="32"/>
  <c r="I89" i="32"/>
  <c r="BU110" i="28"/>
  <c r="BW110" i="28"/>
  <c r="BY110" i="28"/>
  <c r="BZ110" i="28"/>
  <c r="R91" i="31"/>
  <c r="EH79" i="28"/>
  <c r="E79" i="31"/>
  <c r="J79" i="31"/>
  <c r="DV79" i="28"/>
  <c r="D79" i="31"/>
  <c r="I79" i="31"/>
  <c r="DJ92" i="28"/>
  <c r="C92" i="31"/>
  <c r="H92" i="31"/>
  <c r="EA80" i="28"/>
  <c r="P80" i="31"/>
  <c r="EG80" i="28"/>
  <c r="EF80" i="28"/>
  <c r="DC93" i="28"/>
  <c r="N93" i="31"/>
  <c r="DI93" i="28"/>
  <c r="DH93" i="28"/>
  <c r="DO80" i="28"/>
  <c r="O80" i="31"/>
  <c r="DU80" i="28"/>
  <c r="DT80" i="28"/>
  <c r="DQ89" i="28"/>
  <c r="EE111" i="28"/>
  <c r="EC109" i="28"/>
  <c r="DS91" i="28"/>
  <c r="F110" i="30"/>
  <c r="J110" i="30"/>
  <c r="CB110" i="28"/>
  <c r="EB110" i="28"/>
  <c r="E90" i="30"/>
  <c r="I90" i="30"/>
  <c r="BP90" i="28"/>
  <c r="DP90" i="28"/>
  <c r="ER91" i="28"/>
  <c r="ET91" i="28"/>
  <c r="E91" i="29"/>
  <c r="I91" i="29"/>
  <c r="F111" i="29"/>
  <c r="J111" i="29"/>
  <c r="EU90" i="28"/>
  <c r="DZ81" i="28"/>
  <c r="EI81" i="28"/>
  <c r="DN81" i="28"/>
  <c r="DW81" i="28"/>
  <c r="BI91" i="28"/>
  <c r="BK91" i="28"/>
  <c r="BM91" i="28"/>
  <c r="BN91" i="28"/>
  <c r="BU111" i="28"/>
  <c r="BW111" i="28"/>
  <c r="BY111" i="28"/>
  <c r="BZ111" i="28"/>
  <c r="BR113" i="28"/>
  <c r="BT113" i="28"/>
  <c r="BV112" i="28"/>
  <c r="BX112" i="28"/>
  <c r="CC112" i="28"/>
  <c r="ED112" i="28"/>
  <c r="BS112" i="28"/>
  <c r="BO90" i="28"/>
  <c r="D90" i="32"/>
  <c r="I90" i="32"/>
  <c r="CA110" i="28"/>
  <c r="E110" i="32"/>
  <c r="J110" i="32"/>
  <c r="EL93" i="28"/>
  <c r="EM92" i="28"/>
  <c r="EN92" i="28"/>
  <c r="EP92" i="28"/>
  <c r="EQ92" i="28"/>
  <c r="DB94" i="28"/>
  <c r="DK94" i="28"/>
  <c r="EO91" i="28"/>
  <c r="ES91" i="28"/>
  <c r="BF93" i="28"/>
  <c r="BH93" i="28"/>
  <c r="BJ92" i="28"/>
  <c r="BL92" i="28"/>
  <c r="BQ92" i="28"/>
  <c r="DR92" i="28"/>
  <c r="BG92" i="28"/>
  <c r="R92" i="31"/>
  <c r="DV80" i="28"/>
  <c r="D80" i="31"/>
  <c r="I80" i="31"/>
  <c r="DC94" i="28"/>
  <c r="N94" i="31"/>
  <c r="DI94" i="28"/>
  <c r="DH94" i="28"/>
  <c r="EH80" i="28"/>
  <c r="E80" i="31"/>
  <c r="J80" i="31"/>
  <c r="DO81" i="28"/>
  <c r="O81" i="31"/>
  <c r="DU81" i="28"/>
  <c r="DT81" i="28"/>
  <c r="DJ93" i="28"/>
  <c r="C93" i="31"/>
  <c r="H93" i="31"/>
  <c r="EA81" i="28"/>
  <c r="P81" i="31"/>
  <c r="EG81" i="28"/>
  <c r="EF81" i="28"/>
  <c r="EE112" i="28"/>
  <c r="DQ90" i="28"/>
  <c r="EC110" i="28"/>
  <c r="DS92" i="28"/>
  <c r="EU91" i="28"/>
  <c r="F111" i="30"/>
  <c r="J111" i="30"/>
  <c r="CB111" i="28"/>
  <c r="EB111" i="28"/>
  <c r="E91" i="30"/>
  <c r="I91" i="30"/>
  <c r="BP91" i="28"/>
  <c r="DP91" i="28"/>
  <c r="ER92" i="28"/>
  <c r="ET92" i="28"/>
  <c r="E92" i="29"/>
  <c r="I92" i="29"/>
  <c r="F112" i="29"/>
  <c r="J112" i="29"/>
  <c r="EO92" i="28"/>
  <c r="ES92" i="28"/>
  <c r="DN82" i="28"/>
  <c r="DW82" i="28"/>
  <c r="DZ82" i="28"/>
  <c r="EI82" i="28"/>
  <c r="CA111" i="28"/>
  <c r="E111" i="32"/>
  <c r="J111" i="32"/>
  <c r="BI92" i="28"/>
  <c r="BK92" i="28"/>
  <c r="BM92" i="28"/>
  <c r="BN92" i="28"/>
  <c r="BR114" i="28"/>
  <c r="BT114" i="28"/>
  <c r="BV113" i="28"/>
  <c r="BX113" i="28"/>
  <c r="CC113" i="28"/>
  <c r="ED113" i="28"/>
  <c r="BS113" i="28"/>
  <c r="EL94" i="28"/>
  <c r="EP93" i="28"/>
  <c r="EQ93" i="28"/>
  <c r="EM93" i="28"/>
  <c r="EN93" i="28"/>
  <c r="BO91" i="28"/>
  <c r="D91" i="32"/>
  <c r="I91" i="32"/>
  <c r="BF94" i="28"/>
  <c r="BH94" i="28"/>
  <c r="BG93" i="28"/>
  <c r="BJ93" i="28"/>
  <c r="BL93" i="28"/>
  <c r="BQ93" i="28"/>
  <c r="DR93" i="28"/>
  <c r="DB95" i="28"/>
  <c r="DK95" i="28"/>
  <c r="BU112" i="28"/>
  <c r="BW112" i="28"/>
  <c r="BY112" i="28"/>
  <c r="BZ112" i="28"/>
  <c r="R93" i="31"/>
  <c r="EH81" i="28"/>
  <c r="E81" i="31"/>
  <c r="J81" i="31"/>
  <c r="DJ94" i="28"/>
  <c r="C94" i="31"/>
  <c r="H94" i="31"/>
  <c r="DC95" i="28"/>
  <c r="N95" i="31"/>
  <c r="DI95" i="28"/>
  <c r="DH95" i="28"/>
  <c r="EA82" i="28"/>
  <c r="P82" i="31"/>
  <c r="EG82" i="28"/>
  <c r="EF82" i="28"/>
  <c r="DO82" i="28"/>
  <c r="O82" i="31"/>
  <c r="DU82" i="28"/>
  <c r="DT82" i="28"/>
  <c r="DV81" i="28"/>
  <c r="D81" i="31"/>
  <c r="I81" i="31"/>
  <c r="EE113" i="28"/>
  <c r="DQ91" i="28"/>
  <c r="EC111" i="28"/>
  <c r="DS93" i="28"/>
  <c r="F112" i="30"/>
  <c r="J112" i="30"/>
  <c r="CB112" i="28"/>
  <c r="EB112" i="28"/>
  <c r="E92" i="30"/>
  <c r="I92" i="30"/>
  <c r="BP92" i="28"/>
  <c r="DP92" i="28"/>
  <c r="K79" i="31"/>
  <c r="EU92" i="28"/>
  <c r="E93" i="29"/>
  <c r="I93" i="29"/>
  <c r="F113" i="29"/>
  <c r="J113" i="29"/>
  <c r="ER93" i="28"/>
  <c r="ET93" i="28"/>
  <c r="DN83" i="28"/>
  <c r="DW83" i="28"/>
  <c r="DZ83" i="28"/>
  <c r="EI83" i="28"/>
  <c r="CA112" i="28"/>
  <c r="E112" i="32"/>
  <c r="J112" i="32"/>
  <c r="BU113" i="28"/>
  <c r="BW113" i="28"/>
  <c r="BY113" i="28"/>
  <c r="BZ113" i="28"/>
  <c r="BI93" i="28"/>
  <c r="BK93" i="28"/>
  <c r="BM93" i="28"/>
  <c r="BN93" i="28"/>
  <c r="EO93" i="28"/>
  <c r="ES93" i="28"/>
  <c r="BO92" i="28"/>
  <c r="D92" i="32"/>
  <c r="I92" i="32"/>
  <c r="DB96" i="28"/>
  <c r="DK96" i="28"/>
  <c r="BF95" i="28"/>
  <c r="BH95" i="28"/>
  <c r="BJ94" i="28"/>
  <c r="BL94" i="28"/>
  <c r="BQ94" i="28"/>
  <c r="DR94" i="28"/>
  <c r="BG94" i="28"/>
  <c r="EQ94" i="28"/>
  <c r="EL95" i="28"/>
  <c r="EM94" i="28"/>
  <c r="EP94" i="28"/>
  <c r="EN94" i="28"/>
  <c r="BV114" i="28"/>
  <c r="BX114" i="28"/>
  <c r="CC114" i="28"/>
  <c r="ED114" i="28"/>
  <c r="BS114" i="28"/>
  <c r="R94" i="31"/>
  <c r="DJ95" i="28"/>
  <c r="C95" i="31"/>
  <c r="H95" i="31"/>
  <c r="EH82" i="28"/>
  <c r="E82" i="31"/>
  <c r="J82" i="31"/>
  <c r="DO83" i="28"/>
  <c r="O83" i="31"/>
  <c r="DU83" i="28"/>
  <c r="DT83" i="28"/>
  <c r="DC96" i="28"/>
  <c r="N96" i="31"/>
  <c r="DI96" i="28"/>
  <c r="DH96" i="28"/>
  <c r="DV82" i="28"/>
  <c r="D82" i="31"/>
  <c r="I82" i="31"/>
  <c r="EA83" i="28"/>
  <c r="P83" i="31"/>
  <c r="EG83" i="28"/>
  <c r="EF83" i="28"/>
  <c r="DQ92" i="28"/>
  <c r="DS94" i="28"/>
  <c r="EC112" i="28"/>
  <c r="EE114" i="28"/>
  <c r="F113" i="30"/>
  <c r="J113" i="30"/>
  <c r="CB113" i="28"/>
  <c r="EB113" i="28"/>
  <c r="E93" i="30"/>
  <c r="I93" i="30"/>
  <c r="BP93" i="28"/>
  <c r="DP93" i="28"/>
  <c r="EU93" i="28"/>
  <c r="E94" i="29"/>
  <c r="I94" i="29"/>
  <c r="ER94" i="28"/>
  <c r="ET94" i="28"/>
  <c r="F114" i="29"/>
  <c r="J114" i="29"/>
  <c r="EO94" i="28"/>
  <c r="ES94" i="28"/>
  <c r="DZ84" i="28"/>
  <c r="EI84" i="28"/>
  <c r="DN84" i="28"/>
  <c r="DW84" i="28"/>
  <c r="CA113" i="28"/>
  <c r="E113" i="32"/>
  <c r="J113" i="32"/>
  <c r="BU114" i="28"/>
  <c r="BW114" i="28"/>
  <c r="BY114" i="28"/>
  <c r="BZ114" i="28"/>
  <c r="BF96" i="28"/>
  <c r="BH96" i="28"/>
  <c r="BG95" i="28"/>
  <c r="BJ95" i="28"/>
  <c r="BL95" i="28"/>
  <c r="BQ95" i="28"/>
  <c r="DR95" i="28"/>
  <c r="DB97" i="28"/>
  <c r="DK97" i="28"/>
  <c r="BO93" i="28"/>
  <c r="D93" i="32"/>
  <c r="I93" i="32"/>
  <c r="BI94" i="28"/>
  <c r="BK94" i="28"/>
  <c r="BM94" i="28"/>
  <c r="BN94" i="28"/>
  <c r="EQ95" i="28"/>
  <c r="EL96" i="28"/>
  <c r="EN95" i="28"/>
  <c r="EP95" i="28"/>
  <c r="EM95" i="28"/>
  <c r="R95" i="31"/>
  <c r="EH83" i="28"/>
  <c r="E83" i="31"/>
  <c r="J83" i="31"/>
  <c r="DV83" i="28"/>
  <c r="D83" i="31"/>
  <c r="I83" i="31"/>
  <c r="DO84" i="28"/>
  <c r="O84" i="31"/>
  <c r="DU84" i="28"/>
  <c r="DT84" i="28"/>
  <c r="DC97" i="28"/>
  <c r="N97" i="31"/>
  <c r="DI97" i="28"/>
  <c r="DH97" i="28"/>
  <c r="EA84" i="28"/>
  <c r="P84" i="31"/>
  <c r="EG84" i="28"/>
  <c r="EF84" i="28"/>
  <c r="DJ96" i="28"/>
  <c r="C96" i="31"/>
  <c r="H96" i="31"/>
  <c r="DQ93" i="28"/>
  <c r="DS95" i="28"/>
  <c r="EC113" i="28"/>
  <c r="F114" i="30"/>
  <c r="J114" i="30"/>
  <c r="CB114" i="28"/>
  <c r="EB114" i="28"/>
  <c r="E94" i="30"/>
  <c r="I94" i="30"/>
  <c r="BP94" i="28"/>
  <c r="DP94" i="28"/>
  <c r="ER95" i="28"/>
  <c r="ET95" i="28"/>
  <c r="EU94" i="28"/>
  <c r="E95" i="29"/>
  <c r="I95" i="29"/>
  <c r="DZ85" i="28"/>
  <c r="EI85" i="28"/>
  <c r="DN85" i="28"/>
  <c r="DW85" i="28"/>
  <c r="EO95" i="28"/>
  <c r="ES95" i="28"/>
  <c r="BF97" i="28"/>
  <c r="BH97" i="28"/>
  <c r="BG96" i="28"/>
  <c r="BJ96" i="28"/>
  <c r="BL96" i="28"/>
  <c r="BQ96" i="28"/>
  <c r="DR96" i="28"/>
  <c r="BO94" i="28"/>
  <c r="D94" i="32"/>
  <c r="I94" i="32"/>
  <c r="DB98" i="28"/>
  <c r="DK98" i="28"/>
  <c r="CA114" i="28"/>
  <c r="E114" i="32"/>
  <c r="J114" i="32"/>
  <c r="BI95" i="28"/>
  <c r="BK95" i="28"/>
  <c r="BM95" i="28"/>
  <c r="BN95" i="28"/>
  <c r="EL97" i="28"/>
  <c r="EQ96" i="28"/>
  <c r="EP96" i="28"/>
  <c r="EM96" i="28"/>
  <c r="EN96" i="28"/>
  <c r="R96" i="31"/>
  <c r="DV84" i="28"/>
  <c r="D84" i="31"/>
  <c r="I84" i="31"/>
  <c r="DJ97" i="28"/>
  <c r="C97" i="31"/>
  <c r="H97" i="31"/>
  <c r="EH84" i="28"/>
  <c r="E84" i="31"/>
  <c r="J84" i="31"/>
  <c r="EA85" i="28"/>
  <c r="P85" i="31"/>
  <c r="EG85" i="28"/>
  <c r="EF85" i="28"/>
  <c r="DC98" i="28"/>
  <c r="N98" i="31"/>
  <c r="DI98" i="28"/>
  <c r="DH98" i="28"/>
  <c r="DO85" i="28"/>
  <c r="O85" i="31"/>
  <c r="DU85" i="28"/>
  <c r="DT85" i="28"/>
  <c r="EC114" i="28"/>
  <c r="DS96" i="28"/>
  <c r="DQ94" i="28"/>
  <c r="E95" i="30"/>
  <c r="I95" i="30"/>
  <c r="BP95" i="28"/>
  <c r="DP95" i="28"/>
  <c r="ER96" i="28"/>
  <c r="ET96" i="28"/>
  <c r="E96" i="29"/>
  <c r="I96" i="29"/>
  <c r="EU95" i="28"/>
  <c r="DN86" i="28"/>
  <c r="DW86" i="28"/>
  <c r="DZ86" i="28"/>
  <c r="EI86" i="28"/>
  <c r="BO95" i="28"/>
  <c r="D95" i="32"/>
  <c r="I95" i="32"/>
  <c r="EO96" i="28"/>
  <c r="ES96" i="28"/>
  <c r="BF98" i="28"/>
  <c r="BH98" i="28"/>
  <c r="BJ97" i="28"/>
  <c r="BL97" i="28"/>
  <c r="BQ97" i="28"/>
  <c r="DR97" i="28"/>
  <c r="BG97" i="28"/>
  <c r="DB99" i="28"/>
  <c r="DK99" i="28"/>
  <c r="BI96" i="28"/>
  <c r="BK96" i="28"/>
  <c r="BM96" i="28"/>
  <c r="BN96" i="28"/>
  <c r="EQ97" i="28"/>
  <c r="EL98" i="28"/>
  <c r="EP97" i="28"/>
  <c r="EN97" i="28"/>
  <c r="EM97" i="28"/>
  <c r="R97" i="31"/>
  <c r="EH85" i="28"/>
  <c r="E85" i="31"/>
  <c r="J85" i="31"/>
  <c r="DV85" i="28"/>
  <c r="D85" i="31"/>
  <c r="I85" i="31"/>
  <c r="DJ98" i="28"/>
  <c r="C98" i="31"/>
  <c r="H98" i="31"/>
  <c r="EA86" i="28"/>
  <c r="P86" i="31"/>
  <c r="EG86" i="28"/>
  <c r="EF86" i="28"/>
  <c r="DC99" i="28"/>
  <c r="N99" i="31"/>
  <c r="DI99" i="28"/>
  <c r="DH99" i="28"/>
  <c r="DO86" i="28"/>
  <c r="O86" i="31"/>
  <c r="DU86" i="28"/>
  <c r="DT86" i="28"/>
  <c r="DS97" i="28"/>
  <c r="DQ95" i="28"/>
  <c r="EU96" i="28"/>
  <c r="E96" i="30"/>
  <c r="I96" i="30"/>
  <c r="BP96" i="28"/>
  <c r="DP96" i="28"/>
  <c r="E97" i="29"/>
  <c r="I97" i="29"/>
  <c r="DN87" i="28"/>
  <c r="DW87" i="28"/>
  <c r="ER97" i="28"/>
  <c r="ET97" i="28"/>
  <c r="DZ87" i="28"/>
  <c r="EI87" i="28"/>
  <c r="BO96" i="28"/>
  <c r="D96" i="32"/>
  <c r="I96" i="32"/>
  <c r="BF99" i="28"/>
  <c r="BH99" i="28"/>
  <c r="BG98" i="28"/>
  <c r="BJ98" i="28"/>
  <c r="BL98" i="28"/>
  <c r="BQ98" i="28"/>
  <c r="DR98" i="28"/>
  <c r="DB100" i="28"/>
  <c r="DK100" i="28"/>
  <c r="EL99" i="28"/>
  <c r="EQ98" i="28"/>
  <c r="EP98" i="28"/>
  <c r="EM98" i="28"/>
  <c r="EN98" i="28"/>
  <c r="BI97" i="28"/>
  <c r="BK97" i="28"/>
  <c r="BM97" i="28"/>
  <c r="BN97" i="28"/>
  <c r="EO97" i="28"/>
  <c r="ES97" i="28"/>
  <c r="R98" i="31"/>
  <c r="DJ99" i="28"/>
  <c r="C99" i="31"/>
  <c r="H99" i="31"/>
  <c r="EH86" i="28"/>
  <c r="E86" i="31"/>
  <c r="J86" i="31"/>
  <c r="DV86" i="28"/>
  <c r="D86" i="31"/>
  <c r="I86" i="31"/>
  <c r="EA87" i="28"/>
  <c r="P87" i="31"/>
  <c r="EG87" i="28"/>
  <c r="EF87" i="28"/>
  <c r="DC100" i="28"/>
  <c r="N100" i="31"/>
  <c r="DI100" i="28"/>
  <c r="DH100" i="28"/>
  <c r="DO87" i="28"/>
  <c r="O87" i="31"/>
  <c r="DU87" i="28"/>
  <c r="DT87" i="28"/>
  <c r="DQ96" i="28"/>
  <c r="DS98" i="28"/>
  <c r="E97" i="30"/>
  <c r="I97" i="30"/>
  <c r="BP97" i="28"/>
  <c r="DP97" i="28"/>
  <c r="EU97" i="28"/>
  <c r="E98" i="29"/>
  <c r="I98" i="29"/>
  <c r="DN88" i="28"/>
  <c r="DW88" i="28"/>
  <c r="EO98" i="28"/>
  <c r="ES98" i="28"/>
  <c r="ER98" i="28"/>
  <c r="ET98" i="28"/>
  <c r="DZ88" i="28"/>
  <c r="EI88" i="28"/>
  <c r="DB101" i="28"/>
  <c r="DK101" i="28"/>
  <c r="BI98" i="28"/>
  <c r="BK98" i="28"/>
  <c r="BM98" i="28"/>
  <c r="BN98" i="28"/>
  <c r="BO97" i="28"/>
  <c r="D97" i="32"/>
  <c r="I97" i="32"/>
  <c r="BF100" i="28"/>
  <c r="BH100" i="28"/>
  <c r="BJ99" i="28"/>
  <c r="BL99" i="28"/>
  <c r="BQ99" i="28"/>
  <c r="DR99" i="28"/>
  <c r="BG99" i="28"/>
  <c r="EL100" i="28"/>
  <c r="EQ99" i="28"/>
  <c r="EP99" i="28"/>
  <c r="EM99" i="28"/>
  <c r="EN99" i="28"/>
  <c r="R99" i="31"/>
  <c r="EH87" i="28"/>
  <c r="E87" i="31"/>
  <c r="J87" i="31"/>
  <c r="DV87" i="28"/>
  <c r="D87" i="31"/>
  <c r="I87" i="31"/>
  <c r="DJ100" i="28"/>
  <c r="C100" i="31"/>
  <c r="H100" i="31"/>
  <c r="DC101" i="28"/>
  <c r="N101" i="31"/>
  <c r="DI101" i="28"/>
  <c r="DH101" i="28"/>
  <c r="EA88" i="28"/>
  <c r="P88" i="31"/>
  <c r="EG88" i="28"/>
  <c r="EF88" i="28"/>
  <c r="DO88" i="28"/>
  <c r="O88" i="31"/>
  <c r="DU88" i="28"/>
  <c r="DT88" i="28"/>
  <c r="DS99" i="28"/>
  <c r="DQ97" i="28"/>
  <c r="E98" i="30"/>
  <c r="I98" i="30"/>
  <c r="BP98" i="28"/>
  <c r="DP98" i="28"/>
  <c r="E99" i="29"/>
  <c r="I99" i="29"/>
  <c r="ER99" i="28"/>
  <c r="ET99" i="28"/>
  <c r="EU98" i="28"/>
  <c r="DZ89" i="28"/>
  <c r="EI89" i="28"/>
  <c r="DN89" i="28"/>
  <c r="DW89" i="28"/>
  <c r="EO99" i="28"/>
  <c r="ES99" i="28"/>
  <c r="BF101" i="28"/>
  <c r="BH101" i="28"/>
  <c r="BJ100" i="28"/>
  <c r="BL100" i="28"/>
  <c r="BQ100" i="28"/>
  <c r="DR100" i="28"/>
  <c r="BG100" i="28"/>
  <c r="DB102" i="28"/>
  <c r="DK102" i="28"/>
  <c r="BI99" i="28"/>
  <c r="BK99" i="28"/>
  <c r="BM99" i="28"/>
  <c r="BN99" i="28"/>
  <c r="BO98" i="28"/>
  <c r="D98" i="32"/>
  <c r="I98" i="32"/>
  <c r="EL101" i="28"/>
  <c r="EQ100" i="28"/>
  <c r="EP100" i="28"/>
  <c r="EN100" i="28"/>
  <c r="EM100" i="28"/>
  <c r="R100" i="31"/>
  <c r="DJ101" i="28"/>
  <c r="C101" i="31"/>
  <c r="H101" i="31"/>
  <c r="DV88" i="28"/>
  <c r="D88" i="31"/>
  <c r="I88" i="31"/>
  <c r="EH88" i="28"/>
  <c r="E88" i="31"/>
  <c r="J88" i="31"/>
  <c r="EA89" i="28"/>
  <c r="P89" i="31"/>
  <c r="EG89" i="28"/>
  <c r="EF89" i="28"/>
  <c r="DC102" i="28"/>
  <c r="N102" i="31"/>
  <c r="DI102" i="28"/>
  <c r="DH102" i="28"/>
  <c r="DO89" i="28"/>
  <c r="O89" i="31"/>
  <c r="DU89" i="28"/>
  <c r="DT89" i="28"/>
  <c r="DS100" i="28"/>
  <c r="DQ98" i="28"/>
  <c r="E99" i="30"/>
  <c r="I99" i="30"/>
  <c r="BP99" i="28"/>
  <c r="DP99" i="28"/>
  <c r="EU99" i="28"/>
  <c r="E100" i="29"/>
  <c r="I100" i="29"/>
  <c r="ER100" i="28"/>
  <c r="ET100" i="28"/>
  <c r="DN90" i="28"/>
  <c r="DW90" i="28"/>
  <c r="DZ90" i="28"/>
  <c r="EI90" i="28"/>
  <c r="EL102" i="28"/>
  <c r="EQ101" i="28"/>
  <c r="EP101" i="28"/>
  <c r="EM101" i="28"/>
  <c r="EN101" i="28"/>
  <c r="DB103" i="28"/>
  <c r="DK103" i="28"/>
  <c r="BI100" i="28"/>
  <c r="BK100" i="28"/>
  <c r="BM100" i="28"/>
  <c r="BN100" i="28"/>
  <c r="EO100" i="28"/>
  <c r="ES100" i="28"/>
  <c r="BO99" i="28"/>
  <c r="D99" i="32"/>
  <c r="I99" i="32"/>
  <c r="BF102" i="28"/>
  <c r="BH102" i="28"/>
  <c r="BJ101" i="28"/>
  <c r="BL101" i="28"/>
  <c r="BQ101" i="28"/>
  <c r="DR101" i="28"/>
  <c r="BG101" i="28"/>
  <c r="R101" i="31"/>
  <c r="EH89" i="28"/>
  <c r="E89" i="31"/>
  <c r="J89" i="31"/>
  <c r="DV89" i="28"/>
  <c r="D89" i="31"/>
  <c r="I89" i="31"/>
  <c r="DJ102" i="28"/>
  <c r="C102" i="31"/>
  <c r="H102" i="31"/>
  <c r="EA90" i="28"/>
  <c r="P90" i="31"/>
  <c r="EG90" i="28"/>
  <c r="EF90" i="28"/>
  <c r="DO90" i="28"/>
  <c r="O90" i="31"/>
  <c r="DU90" i="28"/>
  <c r="DT90" i="28"/>
  <c r="DC103" i="28"/>
  <c r="N103" i="31"/>
  <c r="DI103" i="28"/>
  <c r="DH103" i="28"/>
  <c r="DS101" i="28"/>
  <c r="DQ99" i="28"/>
  <c r="E100" i="30"/>
  <c r="I100" i="30"/>
  <c r="BP100" i="28"/>
  <c r="DP100" i="28"/>
  <c r="E101" i="29"/>
  <c r="I101" i="29"/>
  <c r="ER101" i="28"/>
  <c r="ET101" i="28"/>
  <c r="EU100" i="28"/>
  <c r="DZ91" i="28"/>
  <c r="EI91" i="28"/>
  <c r="DN91" i="28"/>
  <c r="DW91" i="28"/>
  <c r="DB104" i="28"/>
  <c r="DK104" i="28"/>
  <c r="BO100" i="28"/>
  <c r="D100" i="32"/>
  <c r="I100" i="32"/>
  <c r="EO101" i="28"/>
  <c r="ES101" i="28"/>
  <c r="EL103" i="28"/>
  <c r="EQ102" i="28"/>
  <c r="EP102" i="28"/>
  <c r="EN102" i="28"/>
  <c r="EM102" i="28"/>
  <c r="BF103" i="28"/>
  <c r="BH103" i="28"/>
  <c r="BJ102" i="28"/>
  <c r="BL102" i="28"/>
  <c r="BQ102" i="28"/>
  <c r="DR102" i="28"/>
  <c r="BG102" i="28"/>
  <c r="BI101" i="28"/>
  <c r="BK101" i="28"/>
  <c r="BM101" i="28"/>
  <c r="BN101" i="28"/>
  <c r="R102" i="31"/>
  <c r="EH90" i="28"/>
  <c r="E90" i="31"/>
  <c r="J90" i="31"/>
  <c r="DJ103" i="28"/>
  <c r="C103" i="31"/>
  <c r="H103" i="31"/>
  <c r="DO91" i="28"/>
  <c r="O91" i="31"/>
  <c r="DU91" i="28"/>
  <c r="DT91" i="28"/>
  <c r="EA91" i="28"/>
  <c r="P91" i="31"/>
  <c r="EG91" i="28"/>
  <c r="EF91" i="28"/>
  <c r="DC104" i="28"/>
  <c r="N104" i="31"/>
  <c r="DI104" i="28"/>
  <c r="DH104" i="28"/>
  <c r="DV90" i="28"/>
  <c r="D90" i="31"/>
  <c r="I90" i="31"/>
  <c r="DS102" i="28"/>
  <c r="DQ100" i="28"/>
  <c r="E101" i="30"/>
  <c r="I101" i="30"/>
  <c r="BP101" i="28"/>
  <c r="DP101" i="28"/>
  <c r="ER102" i="28"/>
  <c r="ET102" i="28"/>
  <c r="EU101" i="28"/>
  <c r="E102" i="29"/>
  <c r="I102" i="29"/>
  <c r="DZ92" i="28"/>
  <c r="EI92" i="28"/>
  <c r="DN92" i="28"/>
  <c r="DW92" i="28"/>
  <c r="BI102" i="28"/>
  <c r="BK102" i="28"/>
  <c r="BM102" i="28"/>
  <c r="BN102" i="28"/>
  <c r="EL104" i="28"/>
  <c r="EQ103" i="28"/>
  <c r="EP103" i="28"/>
  <c r="EN103" i="28"/>
  <c r="EM103" i="28"/>
  <c r="EO102" i="28"/>
  <c r="ES102" i="28"/>
  <c r="DB105" i="28"/>
  <c r="DK105" i="28"/>
  <c r="BO101" i="28"/>
  <c r="D101" i="32"/>
  <c r="I101" i="32"/>
  <c r="BF104" i="28"/>
  <c r="BH104" i="28"/>
  <c r="BJ103" i="28"/>
  <c r="BL103" i="28"/>
  <c r="BQ103" i="28"/>
  <c r="DR103" i="28"/>
  <c r="BG103" i="28"/>
  <c r="R103" i="31"/>
  <c r="EH91" i="28"/>
  <c r="E91" i="31"/>
  <c r="J91" i="31"/>
  <c r="DV91" i="28"/>
  <c r="D91" i="31"/>
  <c r="I91" i="31"/>
  <c r="DJ104" i="28"/>
  <c r="C104" i="31"/>
  <c r="H104" i="31"/>
  <c r="DC105" i="28"/>
  <c r="N105" i="31"/>
  <c r="DI105" i="28"/>
  <c r="DH105" i="28"/>
  <c r="DO92" i="28"/>
  <c r="O92" i="31"/>
  <c r="DU92" i="28"/>
  <c r="DT92" i="28"/>
  <c r="EA92" i="28"/>
  <c r="P92" i="31"/>
  <c r="EG92" i="28"/>
  <c r="EF92" i="28"/>
  <c r="DS103" i="28"/>
  <c r="DQ101" i="28"/>
  <c r="EU102" i="28"/>
  <c r="E102" i="30"/>
  <c r="I102" i="30"/>
  <c r="BP102" i="28"/>
  <c r="DP102" i="28"/>
  <c r="E103" i="29"/>
  <c r="I103" i="29"/>
  <c r="ER103" i="28"/>
  <c r="ET103" i="28"/>
  <c r="DZ93" i="28"/>
  <c r="EI93" i="28"/>
  <c r="EO103" i="28"/>
  <c r="ES103" i="28"/>
  <c r="DN93" i="28"/>
  <c r="DW93" i="28"/>
  <c r="BF105" i="28"/>
  <c r="BH105" i="28"/>
  <c r="BJ104" i="28"/>
  <c r="BL104" i="28"/>
  <c r="BQ104" i="28"/>
  <c r="DR104" i="28"/>
  <c r="BG104" i="28"/>
  <c r="DB106" i="28"/>
  <c r="DK106" i="28"/>
  <c r="BI103" i="28"/>
  <c r="BK103" i="28"/>
  <c r="BM103" i="28"/>
  <c r="BN103" i="28"/>
  <c r="EL105" i="28"/>
  <c r="EQ104" i="28"/>
  <c r="EP104" i="28"/>
  <c r="EN104" i="28"/>
  <c r="EM104" i="28"/>
  <c r="BO102" i="28"/>
  <c r="D102" i="32"/>
  <c r="I102" i="32"/>
  <c r="R104" i="31"/>
  <c r="EH92" i="28"/>
  <c r="E92" i="31"/>
  <c r="J92" i="31"/>
  <c r="DJ105" i="28"/>
  <c r="C105" i="31"/>
  <c r="H105" i="31"/>
  <c r="DV92" i="28"/>
  <c r="D92" i="31"/>
  <c r="I92" i="31"/>
  <c r="DC106" i="28"/>
  <c r="N106" i="31"/>
  <c r="DI106" i="28"/>
  <c r="DH106" i="28"/>
  <c r="EA93" i="28"/>
  <c r="P93" i="31"/>
  <c r="EG93" i="28"/>
  <c r="EF93" i="28"/>
  <c r="DO93" i="28"/>
  <c r="O93" i="31"/>
  <c r="DU93" i="28"/>
  <c r="DT93" i="28"/>
  <c r="DQ102" i="28"/>
  <c r="DS104" i="28"/>
  <c r="E103" i="30"/>
  <c r="I103" i="30"/>
  <c r="BP103" i="28"/>
  <c r="DP103" i="28"/>
  <c r="EU103" i="28"/>
  <c r="EO104" i="28"/>
  <c r="ES104" i="28"/>
  <c r="E104" i="29"/>
  <c r="I104" i="29"/>
  <c r="ER104" i="28"/>
  <c r="ET104" i="28"/>
  <c r="DN94" i="28"/>
  <c r="DW94" i="28"/>
  <c r="DZ94" i="28"/>
  <c r="EI94" i="28"/>
  <c r="BO103" i="28"/>
  <c r="D103" i="32"/>
  <c r="I103" i="32"/>
  <c r="DB107" i="28"/>
  <c r="DK107" i="28"/>
  <c r="BF106" i="28"/>
  <c r="BH106" i="28"/>
  <c r="BJ105" i="28"/>
  <c r="BL105" i="28"/>
  <c r="BQ105" i="28"/>
  <c r="DR105" i="28"/>
  <c r="BG105" i="28"/>
  <c r="EL106" i="28"/>
  <c r="EQ105" i="28"/>
  <c r="EP105" i="28"/>
  <c r="EM105" i="28"/>
  <c r="EN105" i="28"/>
  <c r="BI104" i="28"/>
  <c r="BK104" i="28"/>
  <c r="BM104" i="28"/>
  <c r="BN104" i="28"/>
  <c r="R105" i="31"/>
  <c r="DJ106" i="28"/>
  <c r="C106" i="31"/>
  <c r="H106" i="31"/>
  <c r="DV93" i="28"/>
  <c r="D93" i="31"/>
  <c r="I93" i="31"/>
  <c r="DO94" i="28"/>
  <c r="O94" i="31"/>
  <c r="DU94" i="28"/>
  <c r="DT94" i="28"/>
  <c r="DC107" i="28"/>
  <c r="N107" i="31"/>
  <c r="DI107" i="28"/>
  <c r="DH107" i="28"/>
  <c r="EA94" i="28"/>
  <c r="P94" i="31"/>
  <c r="EG94" i="28"/>
  <c r="EF94" i="28"/>
  <c r="EH93" i="28"/>
  <c r="E93" i="31"/>
  <c r="J93" i="31"/>
  <c r="DQ103" i="28"/>
  <c r="DS105" i="28"/>
  <c r="E104" i="30"/>
  <c r="I104" i="30"/>
  <c r="BP104" i="28"/>
  <c r="DP104" i="28"/>
  <c r="E105" i="29"/>
  <c r="I105" i="29"/>
  <c r="EU104" i="28"/>
  <c r="DZ95" i="28"/>
  <c r="EI95" i="28"/>
  <c r="DN95" i="28"/>
  <c r="DW95" i="28"/>
  <c r="ER105" i="28"/>
  <c r="ET105" i="28"/>
  <c r="BO104" i="28"/>
  <c r="D104" i="32"/>
  <c r="I104" i="32"/>
  <c r="EL107" i="28"/>
  <c r="EQ106" i="28"/>
  <c r="EP106" i="28"/>
  <c r="EM106" i="28"/>
  <c r="EN106" i="28"/>
  <c r="BI105" i="28"/>
  <c r="BK105" i="28"/>
  <c r="BM105" i="28"/>
  <c r="BN105" i="28"/>
  <c r="EO105" i="28"/>
  <c r="ES105" i="28"/>
  <c r="DB108" i="28"/>
  <c r="DK108" i="28"/>
  <c r="BF107" i="28"/>
  <c r="BH107" i="28"/>
  <c r="BJ106" i="28"/>
  <c r="BL106" i="28"/>
  <c r="BQ106" i="28"/>
  <c r="DR106" i="28"/>
  <c r="BG106" i="28"/>
  <c r="R106" i="31"/>
  <c r="DV94" i="28"/>
  <c r="D94" i="31"/>
  <c r="I94" i="31"/>
  <c r="EH94" i="28"/>
  <c r="E94" i="31"/>
  <c r="J94" i="31"/>
  <c r="EA95" i="28"/>
  <c r="P95" i="31"/>
  <c r="EG95" i="28"/>
  <c r="EF95" i="28"/>
  <c r="DJ107" i="28"/>
  <c r="C107" i="31"/>
  <c r="H107" i="31"/>
  <c r="DC108" i="28"/>
  <c r="N108" i="31"/>
  <c r="DI108" i="28"/>
  <c r="DH108" i="28"/>
  <c r="DO95" i="28"/>
  <c r="O95" i="31"/>
  <c r="DU95" i="28"/>
  <c r="DT95" i="28"/>
  <c r="DQ104" i="28"/>
  <c r="DS106" i="28"/>
  <c r="E105" i="30"/>
  <c r="I105" i="30"/>
  <c r="BP105" i="28"/>
  <c r="DP105" i="28"/>
  <c r="E106" i="29"/>
  <c r="I106" i="29"/>
  <c r="EU105" i="28"/>
  <c r="ER106" i="28"/>
  <c r="ET106" i="28"/>
  <c r="DN96" i="28"/>
  <c r="DW96" i="28"/>
  <c r="DZ96" i="28"/>
  <c r="EI96" i="28"/>
  <c r="BI106" i="28"/>
  <c r="BK106" i="28"/>
  <c r="BM106" i="28"/>
  <c r="BN106" i="28"/>
  <c r="BO105" i="28"/>
  <c r="D105" i="32"/>
  <c r="I105" i="32"/>
  <c r="DB109" i="28"/>
  <c r="DK109" i="28"/>
  <c r="EL108" i="28"/>
  <c r="EQ107" i="28"/>
  <c r="EP107" i="28"/>
  <c r="EM107" i="28"/>
  <c r="EN107" i="28"/>
  <c r="BF108" i="28"/>
  <c r="BH108" i="28"/>
  <c r="BJ107" i="28"/>
  <c r="BL107" i="28"/>
  <c r="BQ107" i="28"/>
  <c r="DR107" i="28"/>
  <c r="BG107" i="28"/>
  <c r="EO106" i="28"/>
  <c r="ES106" i="28"/>
  <c r="R107" i="31"/>
  <c r="EH95" i="28"/>
  <c r="E95" i="31"/>
  <c r="J95" i="31"/>
  <c r="DV95" i="28"/>
  <c r="D95" i="31"/>
  <c r="I95" i="31"/>
  <c r="DJ108" i="28"/>
  <c r="C108" i="31"/>
  <c r="H108" i="31"/>
  <c r="DC109" i="28"/>
  <c r="N109" i="31"/>
  <c r="DI109" i="28"/>
  <c r="DH109" i="28"/>
  <c r="EA96" i="28"/>
  <c r="P96" i="31"/>
  <c r="EG96" i="28"/>
  <c r="EF96" i="28"/>
  <c r="DO96" i="28"/>
  <c r="O96" i="31"/>
  <c r="DU96" i="28"/>
  <c r="DT96" i="28"/>
  <c r="DQ105" i="28"/>
  <c r="DS107" i="28"/>
  <c r="E106" i="30"/>
  <c r="I106" i="30"/>
  <c r="BP106" i="28"/>
  <c r="DP106" i="28"/>
  <c r="EU106" i="28"/>
  <c r="E107" i="29"/>
  <c r="I107" i="29"/>
  <c r="ER107" i="28"/>
  <c r="ET107" i="28"/>
  <c r="DZ97" i="28"/>
  <c r="EI97" i="28"/>
  <c r="DN97" i="28"/>
  <c r="DW97" i="28"/>
  <c r="BI107" i="28"/>
  <c r="BK107" i="28"/>
  <c r="BM107" i="28"/>
  <c r="BN107" i="28"/>
  <c r="BF109" i="28"/>
  <c r="BH109" i="28"/>
  <c r="BJ108" i="28"/>
  <c r="BL108" i="28"/>
  <c r="BQ108" i="28"/>
  <c r="DR108" i="28"/>
  <c r="BG108" i="28"/>
  <c r="DB110" i="28"/>
  <c r="DK110" i="28"/>
  <c r="EL109" i="28"/>
  <c r="EQ108" i="28"/>
  <c r="EP108" i="28"/>
  <c r="EN108" i="28"/>
  <c r="EM108" i="28"/>
  <c r="BO106" i="28"/>
  <c r="D106" i="32"/>
  <c r="I106" i="32"/>
  <c r="EO107" i="28"/>
  <c r="ES107" i="28"/>
  <c r="R108" i="31"/>
  <c r="DJ109" i="28"/>
  <c r="C109" i="31"/>
  <c r="H109" i="31"/>
  <c r="DC110" i="28"/>
  <c r="N110" i="31"/>
  <c r="DI110" i="28"/>
  <c r="DH110" i="28"/>
  <c r="EH96" i="28"/>
  <c r="E96" i="31"/>
  <c r="J96" i="31"/>
  <c r="DO97" i="28"/>
  <c r="O97" i="31"/>
  <c r="DU97" i="28"/>
  <c r="DT97" i="28"/>
  <c r="DV96" i="28"/>
  <c r="D96" i="31"/>
  <c r="I96" i="31"/>
  <c r="EA97" i="28"/>
  <c r="P97" i="31"/>
  <c r="EG97" i="28"/>
  <c r="EF97" i="28"/>
  <c r="DQ106" i="28"/>
  <c r="DS108" i="28"/>
  <c r="E107" i="30"/>
  <c r="I107" i="30"/>
  <c r="BP107" i="28"/>
  <c r="DP107" i="28"/>
  <c r="EU107" i="28"/>
  <c r="E108" i="29"/>
  <c r="I108" i="29"/>
  <c r="EO108" i="28"/>
  <c r="ES108" i="28"/>
  <c r="ER108" i="28"/>
  <c r="ET108" i="28"/>
  <c r="DN98" i="28"/>
  <c r="DW98" i="28"/>
  <c r="DZ98" i="28"/>
  <c r="EI98" i="28"/>
  <c r="DB111" i="28"/>
  <c r="DK111" i="28"/>
  <c r="BI108" i="28"/>
  <c r="BK108" i="28"/>
  <c r="BM108" i="28"/>
  <c r="BN108" i="28"/>
  <c r="BO107" i="28"/>
  <c r="D107" i="32"/>
  <c r="I107" i="32"/>
  <c r="BF110" i="28"/>
  <c r="BH110" i="28"/>
  <c r="BJ109" i="28"/>
  <c r="BL109" i="28"/>
  <c r="BQ109" i="28"/>
  <c r="DR109" i="28"/>
  <c r="BG109" i="28"/>
  <c r="EL110" i="28"/>
  <c r="EQ109" i="28"/>
  <c r="EP109" i="28"/>
  <c r="EN109" i="28"/>
  <c r="EM109" i="28"/>
  <c r="R109" i="31"/>
  <c r="EH97" i="28"/>
  <c r="E97" i="31"/>
  <c r="J97" i="31"/>
  <c r="DJ110" i="28"/>
  <c r="C110" i="31"/>
  <c r="H110" i="31"/>
  <c r="DO98" i="28"/>
  <c r="O98" i="31"/>
  <c r="DU98" i="28"/>
  <c r="DT98" i="28"/>
  <c r="EA98" i="28"/>
  <c r="P98" i="31"/>
  <c r="EG98" i="28"/>
  <c r="EF98" i="28"/>
  <c r="DC111" i="28"/>
  <c r="N111" i="31"/>
  <c r="DI111" i="28"/>
  <c r="DH111" i="28"/>
  <c r="DV97" i="28"/>
  <c r="D97" i="31"/>
  <c r="I97" i="31"/>
  <c r="DQ107" i="28"/>
  <c r="DS109" i="28"/>
  <c r="E109" i="29"/>
  <c r="I109" i="29"/>
  <c r="E108" i="30"/>
  <c r="I108" i="30"/>
  <c r="BP108" i="28"/>
  <c r="DP108" i="28"/>
  <c r="ER109" i="28"/>
  <c r="ET109" i="28"/>
  <c r="EU108" i="28"/>
  <c r="DZ99" i="28"/>
  <c r="EI99" i="28"/>
  <c r="DN99" i="28"/>
  <c r="DW99" i="28"/>
  <c r="EL111" i="28"/>
  <c r="EQ110" i="28"/>
  <c r="EP110" i="28"/>
  <c r="EM110" i="28"/>
  <c r="EN110" i="28"/>
  <c r="BF111" i="28"/>
  <c r="BH111" i="28"/>
  <c r="BJ110" i="28"/>
  <c r="BL110" i="28"/>
  <c r="BQ110" i="28"/>
  <c r="DR110" i="28"/>
  <c r="BG110" i="28"/>
  <c r="BO108" i="28"/>
  <c r="D108" i="32"/>
  <c r="I108" i="32"/>
  <c r="DB112" i="28"/>
  <c r="DK112" i="28"/>
  <c r="BI109" i="28"/>
  <c r="BK109" i="28"/>
  <c r="BM109" i="28"/>
  <c r="BN109" i="28"/>
  <c r="EO109" i="28"/>
  <c r="ES109" i="28"/>
  <c r="R110" i="31"/>
  <c r="EH98" i="28"/>
  <c r="E98" i="31"/>
  <c r="J98" i="31"/>
  <c r="DV98" i="28"/>
  <c r="D98" i="31"/>
  <c r="I98" i="31"/>
  <c r="DJ111" i="28"/>
  <c r="C111" i="31"/>
  <c r="H111" i="31"/>
  <c r="DC112" i="28"/>
  <c r="N112" i="31"/>
  <c r="DI112" i="28"/>
  <c r="DH112" i="28"/>
  <c r="EA99" i="28"/>
  <c r="P99" i="31"/>
  <c r="EG99" i="28"/>
  <c r="EF99" i="28"/>
  <c r="DO99" i="28"/>
  <c r="O99" i="31"/>
  <c r="DU99" i="28"/>
  <c r="DT99" i="28"/>
  <c r="DQ108" i="28"/>
  <c r="DS110" i="28"/>
  <c r="EU109" i="28"/>
  <c r="E109" i="30"/>
  <c r="I109" i="30"/>
  <c r="BP109" i="28"/>
  <c r="DP109" i="28"/>
  <c r="ER110" i="28"/>
  <c r="ET110" i="28"/>
  <c r="E110" i="29"/>
  <c r="I110" i="29"/>
  <c r="DN100" i="28"/>
  <c r="DW100" i="28"/>
  <c r="EO110" i="28"/>
  <c r="ES110" i="28"/>
  <c r="DZ100" i="28"/>
  <c r="EI100" i="28"/>
  <c r="BI110" i="28"/>
  <c r="BK110" i="28"/>
  <c r="BM110" i="28"/>
  <c r="BN110" i="28"/>
  <c r="BO109" i="28"/>
  <c r="D109" i="32"/>
  <c r="I109" i="32"/>
  <c r="EL112" i="28"/>
  <c r="EQ111" i="28"/>
  <c r="EP111" i="28"/>
  <c r="EM111" i="28"/>
  <c r="EN111" i="28"/>
  <c r="DB113" i="28"/>
  <c r="DK113" i="28"/>
  <c r="BF112" i="28"/>
  <c r="BH112" i="28"/>
  <c r="BG111" i="28"/>
  <c r="BJ111" i="28"/>
  <c r="BL111" i="28"/>
  <c r="BQ111" i="28"/>
  <c r="DR111" i="28"/>
  <c r="R111" i="31"/>
  <c r="EH99" i="28"/>
  <c r="E99" i="31"/>
  <c r="J99" i="31"/>
  <c r="DJ112" i="28"/>
  <c r="C112" i="31"/>
  <c r="H112" i="31"/>
  <c r="DO100" i="28"/>
  <c r="O100" i="31"/>
  <c r="DU100" i="28"/>
  <c r="DT100" i="28"/>
  <c r="DC113" i="28"/>
  <c r="N113" i="31"/>
  <c r="DI113" i="28"/>
  <c r="DH113" i="28"/>
  <c r="EA100" i="28"/>
  <c r="P100" i="31"/>
  <c r="EG100" i="28"/>
  <c r="EF100" i="28"/>
  <c r="DV99" i="28"/>
  <c r="D99" i="31"/>
  <c r="I99" i="31"/>
  <c r="DS111" i="28"/>
  <c r="DQ109" i="28"/>
  <c r="E110" i="30"/>
  <c r="I110" i="30"/>
  <c r="BP110" i="28"/>
  <c r="DP110" i="28"/>
  <c r="EU110" i="28"/>
  <c r="E111" i="29"/>
  <c r="I111" i="29"/>
  <c r="ER111" i="28"/>
  <c r="ET111" i="28"/>
  <c r="DZ101" i="28"/>
  <c r="EI101" i="28"/>
  <c r="DN101" i="28"/>
  <c r="DW101" i="28"/>
  <c r="BI111" i="28"/>
  <c r="BK111" i="28"/>
  <c r="BM111" i="28"/>
  <c r="BN111" i="28"/>
  <c r="BF113" i="28"/>
  <c r="BH113" i="28"/>
  <c r="BJ112" i="28"/>
  <c r="BL112" i="28"/>
  <c r="BQ112" i="28"/>
  <c r="DR112" i="28"/>
  <c r="BG112" i="28"/>
  <c r="EO111" i="28"/>
  <c r="ES111" i="28"/>
  <c r="DB114" i="28"/>
  <c r="DK114" i="28"/>
  <c r="EL113" i="28"/>
  <c r="EQ112" i="28"/>
  <c r="EP112" i="28"/>
  <c r="EN112" i="28"/>
  <c r="EM112" i="28"/>
  <c r="BO110" i="28"/>
  <c r="D110" i="32"/>
  <c r="I110" i="32"/>
  <c r="R112" i="31"/>
  <c r="DV100" i="28"/>
  <c r="D100" i="31"/>
  <c r="I100" i="31"/>
  <c r="EH100" i="28"/>
  <c r="E100" i="31"/>
  <c r="J100" i="31"/>
  <c r="DJ113" i="28"/>
  <c r="C113" i="31"/>
  <c r="H113" i="31"/>
  <c r="DO101" i="28"/>
  <c r="O101" i="31"/>
  <c r="DU101" i="28"/>
  <c r="DT101" i="28"/>
  <c r="DC114" i="28"/>
  <c r="N114" i="31"/>
  <c r="DI114" i="28"/>
  <c r="DH114" i="28"/>
  <c r="EA101" i="28"/>
  <c r="P101" i="31"/>
  <c r="EG101" i="28"/>
  <c r="EF101" i="28"/>
  <c r="DQ110" i="28"/>
  <c r="DS112" i="28"/>
  <c r="E111" i="30"/>
  <c r="I111" i="30"/>
  <c r="BP111" i="28"/>
  <c r="DP111" i="28"/>
  <c r="EU111" i="28"/>
  <c r="ER112" i="28"/>
  <c r="ET112" i="28"/>
  <c r="E112" i="29"/>
  <c r="I112" i="29"/>
  <c r="DN102" i="28"/>
  <c r="DW102" i="28"/>
  <c r="DZ102" i="28"/>
  <c r="EI102" i="28"/>
  <c r="BF114" i="28"/>
  <c r="BH114" i="28"/>
  <c r="BJ113" i="28"/>
  <c r="BL113" i="28"/>
  <c r="BQ113" i="28"/>
  <c r="DR113" i="28"/>
  <c r="BG113" i="28"/>
  <c r="EL114" i="28"/>
  <c r="EP113" i="28"/>
  <c r="EQ113" i="28"/>
  <c r="EM113" i="28"/>
  <c r="EN113" i="28"/>
  <c r="BO111" i="28"/>
  <c r="D111" i="32"/>
  <c r="I111" i="32"/>
  <c r="EO112" i="28"/>
  <c r="ES112" i="28"/>
  <c r="BI112" i="28"/>
  <c r="BK112" i="28"/>
  <c r="BM112" i="28"/>
  <c r="BN112" i="28"/>
  <c r="R113" i="31"/>
  <c r="EH101" i="28"/>
  <c r="E101" i="31"/>
  <c r="J101" i="31"/>
  <c r="DV101" i="28"/>
  <c r="D101" i="31"/>
  <c r="I101" i="31"/>
  <c r="DO102" i="28"/>
  <c r="O102" i="31"/>
  <c r="DU102" i="28"/>
  <c r="DT102" i="28"/>
  <c r="EA102" i="28"/>
  <c r="P102" i="31"/>
  <c r="EG102" i="28"/>
  <c r="EF102" i="28"/>
  <c r="DJ114" i="28"/>
  <c r="C114" i="31"/>
  <c r="H114" i="31"/>
  <c r="DQ111" i="28"/>
  <c r="DS113" i="28"/>
  <c r="E112" i="30"/>
  <c r="I112" i="30"/>
  <c r="BP112" i="28"/>
  <c r="DP112" i="28"/>
  <c r="EU112" i="28"/>
  <c r="E113" i="29"/>
  <c r="I113" i="29"/>
  <c r="ER113" i="28"/>
  <c r="ET113" i="28"/>
  <c r="DZ103" i="28"/>
  <c r="EI103" i="28"/>
  <c r="DN103" i="28"/>
  <c r="DW103" i="28"/>
  <c r="BJ114" i="28"/>
  <c r="BL114" i="28"/>
  <c r="BQ114" i="28"/>
  <c r="DR114" i="28"/>
  <c r="BG114" i="28"/>
  <c r="BO112" i="28"/>
  <c r="D112" i="32"/>
  <c r="I112" i="32"/>
  <c r="EQ114" i="28"/>
  <c r="EP114" i="28"/>
  <c r="EM114" i="28"/>
  <c r="EN114" i="28"/>
  <c r="EO113" i="28"/>
  <c r="ES113" i="28"/>
  <c r="BI113" i="28"/>
  <c r="BK113" i="28"/>
  <c r="BM113" i="28"/>
  <c r="BN113" i="28"/>
  <c r="R114" i="31"/>
  <c r="DV102" i="28"/>
  <c r="D102" i="31"/>
  <c r="I102" i="31"/>
  <c r="EH102" i="28"/>
  <c r="E102" i="31"/>
  <c r="J102" i="31"/>
  <c r="EA103" i="28"/>
  <c r="P103" i="31"/>
  <c r="EG103" i="28"/>
  <c r="EF103" i="28"/>
  <c r="DO103" i="28"/>
  <c r="O103" i="31"/>
  <c r="DU103" i="28"/>
  <c r="DT103" i="28"/>
  <c r="DQ112" i="28"/>
  <c r="DS114" i="28"/>
  <c r="E113" i="30"/>
  <c r="I113" i="30"/>
  <c r="BP113" i="28"/>
  <c r="DP113" i="28"/>
  <c r="EU113" i="28"/>
  <c r="EO114" i="28"/>
  <c r="ES114" i="28"/>
  <c r="ER114" i="28"/>
  <c r="ET114" i="28"/>
  <c r="E114" i="29"/>
  <c r="I114" i="29"/>
  <c r="DZ104" i="28"/>
  <c r="EI104" i="28"/>
  <c r="DN104" i="28"/>
  <c r="DW104" i="28"/>
  <c r="BO113" i="28"/>
  <c r="D113" i="32"/>
  <c r="I113" i="32"/>
  <c r="BI114" i="28"/>
  <c r="BK114" i="28"/>
  <c r="BM114" i="28"/>
  <c r="BN114" i="28"/>
  <c r="EH103" i="28"/>
  <c r="E103" i="31"/>
  <c r="J103" i="31"/>
  <c r="EA104" i="28"/>
  <c r="P104" i="31"/>
  <c r="EG104" i="28"/>
  <c r="EF104" i="28"/>
  <c r="DO104" i="28"/>
  <c r="O104" i="31"/>
  <c r="DU104" i="28"/>
  <c r="DT104" i="28"/>
  <c r="DV103" i="28"/>
  <c r="D103" i="31"/>
  <c r="I103" i="31"/>
  <c r="DQ113" i="28"/>
  <c r="E114" i="30"/>
  <c r="I114" i="30"/>
  <c r="BP114" i="28"/>
  <c r="DP114" i="28"/>
  <c r="EU114" i="28"/>
  <c r="DZ105" i="28"/>
  <c r="EI105" i="28"/>
  <c r="DN105" i="28"/>
  <c r="DW105" i="28"/>
  <c r="BO114" i="28"/>
  <c r="D114" i="32"/>
  <c r="I114" i="32"/>
  <c r="DV104" i="28"/>
  <c r="D104" i="31"/>
  <c r="I104" i="31"/>
  <c r="EH104" i="28"/>
  <c r="E104" i="31"/>
  <c r="J104" i="31"/>
  <c r="DO105" i="28"/>
  <c r="O105" i="31"/>
  <c r="DU105" i="28"/>
  <c r="DT105" i="28"/>
  <c r="EA105" i="28"/>
  <c r="P105" i="31"/>
  <c r="EG105" i="28"/>
  <c r="EF105" i="28"/>
  <c r="DQ114" i="28"/>
  <c r="DZ106" i="28"/>
  <c r="EI106" i="28"/>
  <c r="DN106" i="28"/>
  <c r="DW106" i="28"/>
  <c r="DV105" i="28"/>
  <c r="D105" i="31"/>
  <c r="I105" i="31"/>
  <c r="EH105" i="28"/>
  <c r="E105" i="31"/>
  <c r="J105" i="31"/>
  <c r="DO106" i="28"/>
  <c r="O106" i="31"/>
  <c r="DU106" i="28"/>
  <c r="DT106" i="28"/>
  <c r="EA106" i="28"/>
  <c r="P106" i="31"/>
  <c r="EG106" i="28"/>
  <c r="EF106" i="28"/>
  <c r="DN107" i="28"/>
  <c r="DW107" i="28"/>
  <c r="DZ107" i="28"/>
  <c r="EI107" i="28"/>
  <c r="EH106" i="28"/>
  <c r="E106" i="31"/>
  <c r="J106" i="31"/>
  <c r="DV106" i="28"/>
  <c r="D106" i="31"/>
  <c r="I106" i="31"/>
  <c r="EA107" i="28"/>
  <c r="P107" i="31"/>
  <c r="EG107" i="28"/>
  <c r="EF107" i="28"/>
  <c r="DO107" i="28"/>
  <c r="O107" i="31"/>
  <c r="DU107" i="28"/>
  <c r="DT107" i="28"/>
  <c r="DZ108" i="28"/>
  <c r="EI108" i="28"/>
  <c r="DN108" i="28"/>
  <c r="DW108" i="28"/>
  <c r="DV107" i="28"/>
  <c r="D107" i="31"/>
  <c r="I107" i="31"/>
  <c r="EH107" i="28"/>
  <c r="E107" i="31"/>
  <c r="J107" i="31"/>
  <c r="EA108" i="28"/>
  <c r="P108" i="31"/>
  <c r="EG108" i="28"/>
  <c r="EF108" i="28"/>
  <c r="DO108" i="28"/>
  <c r="O108" i="31"/>
  <c r="DU108" i="28"/>
  <c r="DT108" i="28"/>
  <c r="DN109" i="28"/>
  <c r="DW109" i="28"/>
  <c r="DZ109" i="28"/>
  <c r="EI109" i="28"/>
  <c r="DV108" i="28"/>
  <c r="D108" i="31"/>
  <c r="I108" i="31"/>
  <c r="EH108" i="28"/>
  <c r="E108" i="31"/>
  <c r="J108" i="31"/>
  <c r="DO109" i="28"/>
  <c r="O109" i="31"/>
  <c r="DU109" i="28"/>
  <c r="DT109" i="28"/>
  <c r="EA109" i="28"/>
  <c r="P109" i="31"/>
  <c r="EG109" i="28"/>
  <c r="EF109" i="28"/>
  <c r="DZ110" i="28"/>
  <c r="EI110" i="28"/>
  <c r="DN110" i="28"/>
  <c r="DW110" i="28"/>
  <c r="DV109" i="28"/>
  <c r="D109" i="31"/>
  <c r="I109" i="31"/>
  <c r="EH109" i="28"/>
  <c r="E109" i="31"/>
  <c r="J109" i="31"/>
  <c r="EA110" i="28"/>
  <c r="P110" i="31"/>
  <c r="EG110" i="28"/>
  <c r="EF110" i="28"/>
  <c r="DO110" i="28"/>
  <c r="O110" i="31"/>
  <c r="DU110" i="28"/>
  <c r="DT110" i="28"/>
  <c r="DN111" i="28"/>
  <c r="DW111" i="28"/>
  <c r="DZ111" i="28"/>
  <c r="EI111" i="28"/>
  <c r="EH110" i="28"/>
  <c r="E110" i="31"/>
  <c r="J110" i="31"/>
  <c r="DV110" i="28"/>
  <c r="D110" i="31"/>
  <c r="I110" i="31"/>
  <c r="EA111" i="28"/>
  <c r="P111" i="31"/>
  <c r="EG111" i="28"/>
  <c r="EF111" i="28"/>
  <c r="DO111" i="28"/>
  <c r="O111" i="31"/>
  <c r="DU111" i="28"/>
  <c r="DT111" i="28"/>
  <c r="DZ112" i="28"/>
  <c r="EI112" i="28"/>
  <c r="DN112" i="28"/>
  <c r="DW112" i="28"/>
  <c r="DV111" i="28"/>
  <c r="D111" i="31"/>
  <c r="I111" i="31"/>
  <c r="EH111" i="28"/>
  <c r="E111" i="31"/>
  <c r="J111" i="31"/>
  <c r="DO112" i="28"/>
  <c r="O112" i="31"/>
  <c r="DU112" i="28"/>
  <c r="DT112" i="28"/>
  <c r="EA112" i="28"/>
  <c r="P112" i="31"/>
  <c r="EG112" i="28"/>
  <c r="EF112" i="28"/>
  <c r="DN113" i="28"/>
  <c r="DW113" i="28"/>
  <c r="DZ113" i="28"/>
  <c r="EI113" i="28"/>
  <c r="EH112" i="28"/>
  <c r="E112" i="31"/>
  <c r="J112" i="31"/>
  <c r="DV112" i="28"/>
  <c r="D112" i="31"/>
  <c r="I112" i="31"/>
  <c r="EA113" i="28"/>
  <c r="P113" i="31"/>
  <c r="EG113" i="28"/>
  <c r="EF113" i="28"/>
  <c r="DO113" i="28"/>
  <c r="O113" i="31"/>
  <c r="DU113" i="28"/>
  <c r="DT113" i="28"/>
  <c r="DN114" i="28"/>
  <c r="DW114" i="28"/>
  <c r="DZ114" i="28"/>
  <c r="EI114" i="28"/>
  <c r="EH113" i="28"/>
  <c r="E113" i="31"/>
  <c r="J113" i="31"/>
  <c r="DV113" i="28"/>
  <c r="D113" i="31"/>
  <c r="I113" i="31"/>
  <c r="DO114" i="28"/>
  <c r="O114" i="31"/>
  <c r="DU114" i="28"/>
  <c r="DT114" i="28"/>
  <c r="EA114" i="28"/>
  <c r="P114" i="31"/>
  <c r="EG114" i="28"/>
  <c r="EF114" i="28"/>
  <c r="EH114" i="28"/>
  <c r="E114" i="31"/>
  <c r="J114" i="31"/>
  <c r="DV114" i="28"/>
  <c r="D114" i="31"/>
  <c r="I114" i="31"/>
</calcChain>
</file>

<file path=xl/sharedStrings.xml><?xml version="1.0" encoding="utf-8"?>
<sst xmlns="http://schemas.openxmlformats.org/spreadsheetml/2006/main" count="3104" uniqueCount="770">
  <si>
    <t>t</t>
  </si>
  <si>
    <t>L/kg</t>
  </si>
  <si>
    <t>kg/L</t>
  </si>
  <si>
    <t>(-)</t>
  </si>
  <si>
    <t>µg/L</t>
  </si>
  <si>
    <t>år</t>
  </si>
  <si>
    <t>Dybde til grunnvann (m)</t>
  </si>
  <si>
    <t>Strømningshastighet (m/år)</t>
  </si>
  <si>
    <t>Resipient</t>
  </si>
  <si>
    <t>R = 1 + Kd pb/(water content)</t>
  </si>
  <si>
    <t>Experiment</t>
  </si>
  <si>
    <t>m3</t>
  </si>
  <si>
    <t>1/år</t>
  </si>
  <si>
    <r>
      <t>M</t>
    </r>
    <r>
      <rPr>
        <vertAlign val="subscript"/>
        <sz val="11"/>
        <color theme="1"/>
        <rFont val="Calibri"/>
        <family val="2"/>
        <scheme val="minor"/>
      </rPr>
      <t>ums_0</t>
    </r>
  </si>
  <si>
    <r>
      <t>M</t>
    </r>
    <r>
      <rPr>
        <vertAlign val="subscript"/>
        <sz val="11"/>
        <color theme="1"/>
        <rFont val="Calibri"/>
        <family val="2"/>
        <scheme val="minor"/>
      </rPr>
      <t>ms_o</t>
    </r>
  </si>
  <si>
    <r>
      <t>k</t>
    </r>
    <r>
      <rPr>
        <vertAlign val="subscript"/>
        <sz val="11"/>
        <color theme="1"/>
        <rFont val="Calibri"/>
        <family val="2"/>
        <scheme val="minor"/>
      </rPr>
      <t>ms</t>
    </r>
  </si>
  <si>
    <r>
      <t>k</t>
    </r>
    <r>
      <rPr>
        <vertAlign val="subscript"/>
        <sz val="11"/>
        <color theme="1"/>
        <rFont val="Calibri"/>
        <family val="2"/>
        <scheme val="minor"/>
      </rPr>
      <t>bio_ums</t>
    </r>
  </si>
  <si>
    <r>
      <t>k</t>
    </r>
    <r>
      <rPr>
        <vertAlign val="subscript"/>
        <sz val="11"/>
        <color theme="1"/>
        <rFont val="Calibri"/>
        <family val="2"/>
        <scheme val="minor"/>
      </rPr>
      <t>bio_ms</t>
    </r>
  </si>
  <si>
    <r>
      <t>M</t>
    </r>
    <r>
      <rPr>
        <vertAlign val="subscript"/>
        <sz val="11"/>
        <color theme="1"/>
        <rFont val="Calibri"/>
        <family val="2"/>
        <scheme val="minor"/>
      </rPr>
      <t>res_o</t>
    </r>
  </si>
  <si>
    <t>Volum forurenset aquifer (m3)</t>
  </si>
  <si>
    <t>Initial vann kons i recipient (µg/L)</t>
  </si>
  <si>
    <t>Initial mengde i resipient (kg)</t>
  </si>
  <si>
    <t>kg</t>
  </si>
  <si>
    <r>
      <t>V</t>
    </r>
    <r>
      <rPr>
        <vertAlign val="subscript"/>
        <sz val="11"/>
        <color theme="1"/>
        <rFont val="Calibri"/>
        <family val="2"/>
        <scheme val="minor"/>
      </rPr>
      <t>ums_0</t>
    </r>
  </si>
  <si>
    <r>
      <t>V</t>
    </r>
    <r>
      <rPr>
        <vertAlign val="subscript"/>
        <sz val="11"/>
        <color theme="1"/>
        <rFont val="Calibri"/>
        <family val="2"/>
        <scheme val="minor"/>
      </rPr>
      <t>res_o</t>
    </r>
  </si>
  <si>
    <r>
      <t>V</t>
    </r>
    <r>
      <rPr>
        <vertAlign val="subscript"/>
        <sz val="11"/>
        <color theme="1"/>
        <rFont val="Calibri"/>
        <family val="2"/>
        <scheme val="minor"/>
      </rPr>
      <t>ms_o</t>
    </r>
  </si>
  <si>
    <t>(kg)</t>
  </si>
  <si>
    <t>(µg/L)</t>
  </si>
  <si>
    <r>
      <t>K</t>
    </r>
    <r>
      <rPr>
        <vertAlign val="subscript"/>
        <sz val="11"/>
        <color theme="1"/>
        <rFont val="Calibri"/>
        <family val="2"/>
        <scheme val="minor"/>
      </rPr>
      <t>ms_o</t>
    </r>
  </si>
  <si>
    <t>bulk density ums</t>
  </si>
  <si>
    <t>bulk densitm ms</t>
  </si>
  <si>
    <r>
      <t>K</t>
    </r>
    <r>
      <rPr>
        <vertAlign val="subscript"/>
        <sz val="11"/>
        <color theme="1"/>
        <rFont val="Calibri"/>
        <family val="2"/>
        <scheme val="minor"/>
      </rPr>
      <t>D_Ums</t>
    </r>
  </si>
  <si>
    <r>
      <t>k</t>
    </r>
    <r>
      <rPr>
        <vertAlign val="subscript"/>
        <sz val="11"/>
        <color theme="1"/>
        <rFont val="Calibri"/>
        <family val="2"/>
        <scheme val="minor"/>
      </rPr>
      <t>ums_colloid</t>
    </r>
  </si>
  <si>
    <r>
      <t>k</t>
    </r>
    <r>
      <rPr>
        <vertAlign val="subscript"/>
        <sz val="11"/>
        <color theme="1"/>
        <rFont val="Calibri"/>
        <family val="2"/>
        <scheme val="minor"/>
      </rPr>
      <t>ums_stoff</t>
    </r>
  </si>
  <si>
    <r>
      <t>k</t>
    </r>
    <r>
      <rPr>
        <vertAlign val="subscript"/>
        <sz val="11"/>
        <color theme="1"/>
        <rFont val="Calibri"/>
        <family val="2"/>
        <scheme val="minor"/>
      </rPr>
      <t>ms_colloid</t>
    </r>
  </si>
  <si>
    <r>
      <t>F</t>
    </r>
    <r>
      <rPr>
        <vertAlign val="subscript"/>
        <sz val="11"/>
        <color theme="1"/>
        <rFont val="Calibri"/>
        <family val="2"/>
        <scheme val="minor"/>
      </rPr>
      <t>colloidal</t>
    </r>
  </si>
  <si>
    <r>
      <rPr>
        <sz val="11"/>
        <color theme="1"/>
        <rFont val="Calibri"/>
        <family val="2"/>
        <scheme val="minor"/>
      </rPr>
      <t>M</t>
    </r>
    <r>
      <rPr>
        <vertAlign val="subscript"/>
        <sz val="11"/>
        <color theme="1"/>
        <rFont val="Calibri"/>
        <family val="2"/>
        <scheme val="minor"/>
      </rPr>
      <t>ums_colloidal</t>
    </r>
  </si>
  <si>
    <r>
      <t>M</t>
    </r>
    <r>
      <rPr>
        <vertAlign val="subscript"/>
        <sz val="11"/>
        <color theme="1"/>
        <rFont val="Calibri"/>
        <family val="2"/>
        <scheme val="minor"/>
      </rPr>
      <t>ms_entered</t>
    </r>
  </si>
  <si>
    <r>
      <rPr>
        <sz val="11"/>
        <color theme="1"/>
        <rFont val="Calibri"/>
        <family val="2"/>
        <scheme val="minor"/>
      </rPr>
      <t>M</t>
    </r>
    <r>
      <rPr>
        <vertAlign val="subscript"/>
        <sz val="11"/>
        <color theme="1"/>
        <rFont val="Calibri"/>
        <family val="2"/>
        <scheme val="minor"/>
      </rPr>
      <t>ms_colloidal_entered</t>
    </r>
  </si>
  <si>
    <r>
      <rPr>
        <sz val="11"/>
        <color theme="1"/>
        <rFont val="Calibri"/>
        <family val="2"/>
        <scheme val="minor"/>
      </rPr>
      <t>C</t>
    </r>
    <r>
      <rPr>
        <vertAlign val="subscript"/>
        <sz val="11"/>
        <color theme="1"/>
        <rFont val="Calibri"/>
        <family val="2"/>
        <scheme val="minor"/>
      </rPr>
      <t>ums_soil</t>
    </r>
  </si>
  <si>
    <r>
      <rPr>
        <sz val="11"/>
        <color theme="1"/>
        <rFont val="Calibri"/>
        <family val="2"/>
        <scheme val="minor"/>
      </rPr>
      <t>C</t>
    </r>
    <r>
      <rPr>
        <vertAlign val="subscript"/>
        <sz val="11"/>
        <color theme="1"/>
        <rFont val="Calibri"/>
        <family val="2"/>
        <scheme val="minor"/>
      </rPr>
      <t>ums_pw</t>
    </r>
  </si>
  <si>
    <r>
      <rPr>
        <sz val="11"/>
        <color theme="1"/>
        <rFont val="Calibri"/>
        <family val="2"/>
        <scheme val="minor"/>
      </rPr>
      <t>C</t>
    </r>
    <r>
      <rPr>
        <vertAlign val="subscript"/>
        <sz val="11"/>
        <color theme="1"/>
        <rFont val="Calibri"/>
        <family val="2"/>
        <scheme val="minor"/>
      </rPr>
      <t>ums_total</t>
    </r>
  </si>
  <si>
    <r>
      <t>C</t>
    </r>
    <r>
      <rPr>
        <vertAlign val="subscript"/>
        <sz val="11"/>
        <color theme="1"/>
        <rFont val="Calibri"/>
        <family val="2"/>
        <scheme val="minor"/>
      </rPr>
      <t>recipient</t>
    </r>
  </si>
  <si>
    <r>
      <t>k</t>
    </r>
    <r>
      <rPr>
        <vertAlign val="subscript"/>
        <sz val="11"/>
        <color theme="1"/>
        <rFont val="Calibri"/>
        <family val="2"/>
        <scheme val="minor"/>
      </rPr>
      <t>bio_res</t>
    </r>
  </si>
  <si>
    <t>half-life umettet sone</t>
  </si>
  <si>
    <t>half-life mettet sone</t>
  </si>
  <si>
    <t>max resipient kons (med deg.)</t>
  </si>
  <si>
    <t>max resipient kons (uten deg.)</t>
  </si>
  <si>
    <t>Retardationfactor R</t>
  </si>
  <si>
    <t>Porevannskons.forurensning (µg/l)</t>
  </si>
  <si>
    <t>Initial Mengde forurensning i jord (kg)</t>
  </si>
  <si>
    <t>Max mengde colloidal forurensning som kan gå til umettet zone (kg)</t>
  </si>
  <si>
    <t>Max Mengde forurensning som kan gå til umettet zone uten sorpsjon (kg)</t>
  </si>
  <si>
    <t>Blandingsdybde (m)</t>
  </si>
  <si>
    <r>
      <rPr>
        <sz val="11"/>
        <color theme="1"/>
        <rFont val="Calibri"/>
        <family val="2"/>
        <scheme val="minor"/>
      </rPr>
      <t>C</t>
    </r>
    <r>
      <rPr>
        <vertAlign val="subscript"/>
        <sz val="11"/>
        <color theme="1"/>
        <rFont val="Calibri"/>
        <family val="2"/>
        <scheme val="minor"/>
      </rPr>
      <t>ms_total</t>
    </r>
  </si>
  <si>
    <r>
      <rPr>
        <sz val="11"/>
        <color theme="1"/>
        <rFont val="Calibri"/>
        <family val="2"/>
        <scheme val="minor"/>
      </rPr>
      <t>C</t>
    </r>
    <r>
      <rPr>
        <vertAlign val="subscript"/>
        <sz val="11"/>
        <color theme="1"/>
        <rFont val="Calibri"/>
        <family val="2"/>
        <scheme val="minor"/>
      </rPr>
      <t>ms_soil</t>
    </r>
  </si>
  <si>
    <r>
      <rPr>
        <sz val="11"/>
        <color theme="1"/>
        <rFont val="Calibri"/>
        <family val="2"/>
        <scheme val="minor"/>
      </rPr>
      <t>C</t>
    </r>
    <r>
      <rPr>
        <vertAlign val="subscript"/>
        <sz val="11"/>
        <color theme="1"/>
        <rFont val="Calibri"/>
        <family val="2"/>
        <scheme val="minor"/>
      </rPr>
      <t>ms_pw</t>
    </r>
  </si>
  <si>
    <t>Nedbør (mm/år)</t>
  </si>
  <si>
    <r>
      <t>k</t>
    </r>
    <r>
      <rPr>
        <vertAlign val="subscript"/>
        <sz val="10"/>
        <rFont val="Arial"/>
        <family val="2"/>
      </rPr>
      <t xml:space="preserve">umettet sone med sorpsjon </t>
    </r>
    <r>
      <rPr>
        <sz val="10"/>
        <rFont val="Arial"/>
        <family val="2"/>
      </rPr>
      <t>(1/år)</t>
    </r>
  </si>
  <si>
    <t>m/m</t>
  </si>
  <si>
    <t>m/s</t>
  </si>
  <si>
    <t>m/år</t>
  </si>
  <si>
    <t>Q total i resipient (m3/år)</t>
  </si>
  <si>
    <t>Fortynningsfaktor (-)</t>
  </si>
  <si>
    <t>Oppholdstid i resipient (år)</t>
  </si>
  <si>
    <t>half-life resipient</t>
  </si>
  <si>
    <t>1/Fortynningsfaktor (-)</t>
  </si>
  <si>
    <t>EQS vann</t>
  </si>
  <si>
    <t>Normverdi jord</t>
  </si>
  <si>
    <t>tid</t>
  </si>
  <si>
    <r>
      <t>M</t>
    </r>
    <r>
      <rPr>
        <vertAlign val="subscript"/>
        <sz val="11"/>
        <color theme="1"/>
        <rFont val="Calibri"/>
        <family val="2"/>
        <scheme val="minor"/>
      </rPr>
      <t>ms_colloidal</t>
    </r>
  </si>
  <si>
    <r>
      <rPr>
        <sz val="11"/>
        <color theme="1"/>
        <rFont val="Calibri"/>
        <family val="2"/>
        <scheme val="minor"/>
      </rPr>
      <t>M</t>
    </r>
    <r>
      <rPr>
        <vertAlign val="subscript"/>
        <sz val="11"/>
        <color theme="1"/>
        <rFont val="Calibri"/>
        <family val="2"/>
        <scheme val="minor"/>
      </rPr>
      <t>ums_biota</t>
    </r>
  </si>
  <si>
    <r>
      <t>M</t>
    </r>
    <r>
      <rPr>
        <vertAlign val="subscript"/>
        <sz val="11"/>
        <color theme="1"/>
        <rFont val="Calibri"/>
        <family val="2"/>
        <scheme val="minor"/>
      </rPr>
      <t>rec_colloidal_ent</t>
    </r>
  </si>
  <si>
    <r>
      <t>M</t>
    </r>
    <r>
      <rPr>
        <vertAlign val="subscript"/>
        <sz val="11"/>
        <color theme="1"/>
        <rFont val="Calibri"/>
        <family val="2"/>
        <scheme val="minor"/>
      </rPr>
      <t>recipient_colloidal</t>
    </r>
  </si>
  <si>
    <r>
      <t>k</t>
    </r>
    <r>
      <rPr>
        <vertAlign val="subscript"/>
        <sz val="11"/>
        <color theme="1"/>
        <rFont val="Calibri"/>
        <family val="2"/>
        <scheme val="minor"/>
      </rPr>
      <t>res_colloid</t>
    </r>
  </si>
  <si>
    <r>
      <t>k</t>
    </r>
    <r>
      <rPr>
        <vertAlign val="subscript"/>
        <sz val="11"/>
        <color theme="1"/>
        <rFont val="Calibri"/>
        <family val="2"/>
        <scheme val="minor"/>
      </rPr>
      <t>res_stoff</t>
    </r>
  </si>
  <si>
    <t>(mg/kg)</t>
  </si>
  <si>
    <t>jord</t>
  </si>
  <si>
    <t>vann</t>
  </si>
  <si>
    <t>100 år</t>
  </si>
  <si>
    <t>År</t>
  </si>
  <si>
    <t>Initial mengde forurensning i aquifer (kg)</t>
  </si>
  <si>
    <t>Initial mengde colloidal forurensning i aquifer (kg)</t>
  </si>
  <si>
    <t>ratio non-colloidal to mettet zone (-)</t>
  </si>
  <si>
    <t>fraction water umettet</t>
  </si>
  <si>
    <t>ratio non-colloidal to resipient (-)</t>
  </si>
  <si>
    <t>mg/kg</t>
  </si>
  <si>
    <t>5 år</t>
  </si>
  <si>
    <t>tid til maks/år</t>
  </si>
  <si>
    <t>20 år</t>
  </si>
  <si>
    <t>resipient</t>
  </si>
  <si>
    <t>Tid (år)</t>
  </si>
  <si>
    <t>t1</t>
  </si>
  <si>
    <t>mettet sone</t>
  </si>
  <si>
    <t>stoff maks</t>
  </si>
  <si>
    <t>colloid maks</t>
  </si>
  <si>
    <t>t2</t>
  </si>
  <si>
    <t>t3</t>
  </si>
  <si>
    <t>tid til maks</t>
  </si>
  <si>
    <t>Max gjennomsnitt jord kons fritt-løst mettet zone</t>
  </si>
  <si>
    <t xml:space="preserve">uendelig </t>
  </si>
  <si>
    <t>uendelig</t>
  </si>
  <si>
    <t>x Normverdier</t>
  </si>
  <si>
    <t>x EQS eller PNEC</t>
  </si>
  <si>
    <t>%</t>
  </si>
  <si>
    <r>
      <t>M</t>
    </r>
    <r>
      <rPr>
        <vertAlign val="subscript"/>
        <sz val="11"/>
        <color theme="1"/>
        <rFont val="Calibri"/>
        <family val="2"/>
        <scheme val="minor"/>
      </rPr>
      <t>ms_current</t>
    </r>
  </si>
  <si>
    <r>
      <t>M</t>
    </r>
    <r>
      <rPr>
        <vertAlign val="subscript"/>
        <sz val="11"/>
        <color theme="1"/>
        <rFont val="Calibri"/>
        <family val="2"/>
        <scheme val="minor"/>
      </rPr>
      <t>recipient_current</t>
    </r>
  </si>
  <si>
    <r>
      <t>k</t>
    </r>
    <r>
      <rPr>
        <vertAlign val="subscript"/>
        <sz val="10"/>
        <rFont val="Arial"/>
        <family val="2"/>
      </rPr>
      <t xml:space="preserve">mettet sone med sorpsjon </t>
    </r>
    <r>
      <rPr>
        <sz val="10"/>
        <rFont val="Arial"/>
        <family val="2"/>
      </rPr>
      <t>(1/år)</t>
    </r>
  </si>
  <si>
    <t>Formula 1</t>
  </si>
  <si>
    <r>
      <t>M</t>
    </r>
    <r>
      <rPr>
        <vertAlign val="subscript"/>
        <sz val="11"/>
        <color theme="1"/>
        <rFont val="Calibri"/>
        <family val="2"/>
        <scheme val="minor"/>
      </rPr>
      <t>rec_input</t>
    </r>
  </si>
  <si>
    <t>Initial recipient mass</t>
  </si>
  <si>
    <t>mulig maks 1</t>
  </si>
  <si>
    <r>
      <t>M</t>
    </r>
    <r>
      <rPr>
        <vertAlign val="subscript"/>
        <sz val="11"/>
        <color theme="1"/>
        <rFont val="Calibri"/>
        <family val="2"/>
        <scheme val="minor"/>
      </rPr>
      <t>rec_input_previous</t>
    </r>
  </si>
  <si>
    <r>
      <t>M</t>
    </r>
    <r>
      <rPr>
        <vertAlign val="subscript"/>
        <sz val="11"/>
        <color theme="1"/>
        <rFont val="Calibri"/>
        <family val="2"/>
        <scheme val="minor"/>
      </rPr>
      <t>rec_diff</t>
    </r>
  </si>
  <si>
    <r>
      <t>M</t>
    </r>
    <r>
      <rPr>
        <vertAlign val="subscript"/>
        <sz val="11"/>
        <color theme="1"/>
        <rFont val="Calibri"/>
        <family val="2"/>
        <scheme val="minor"/>
      </rPr>
      <t>rec_colloidal_previous</t>
    </r>
  </si>
  <si>
    <r>
      <t>M</t>
    </r>
    <r>
      <rPr>
        <vertAlign val="subscript"/>
        <sz val="11"/>
        <color theme="1"/>
        <rFont val="Calibri"/>
        <family val="2"/>
        <scheme val="minor"/>
      </rPr>
      <t>rec_colloidal_diff</t>
    </r>
  </si>
  <si>
    <t>mulig maks 2</t>
  </si>
  <si>
    <t>umettet flaskehals</t>
  </si>
  <si>
    <t>tid Max</t>
  </si>
  <si>
    <t>Approx Max Crecipient</t>
  </si>
  <si>
    <t>notat</t>
  </si>
  <si>
    <t>ved maks kons i resipient</t>
  </si>
  <si>
    <t>organisk</t>
  </si>
  <si>
    <t>Dioksin (TCDD-ekv.)</t>
  </si>
  <si>
    <t>Trikresylfosfat</t>
  </si>
  <si>
    <t>Polyklorerte naftalener</t>
  </si>
  <si>
    <t>Kortkjedete kl. paraf.</t>
  </si>
  <si>
    <t>Mellomkjedete kl. paraf.</t>
  </si>
  <si>
    <t>Di(2-etylheksyl)ftalat</t>
  </si>
  <si>
    <t>Trifenyltinnklorid</t>
  </si>
  <si>
    <t>TBT-oksid</t>
  </si>
  <si>
    <t>Oktylfenoletoksilat</t>
  </si>
  <si>
    <t>Oktylfenol</t>
  </si>
  <si>
    <t>Nonylfenoletoksilat</t>
  </si>
  <si>
    <t>Nonylfenol</t>
  </si>
  <si>
    <t>PFOS</t>
  </si>
  <si>
    <t>Bisfenol A</t>
  </si>
  <si>
    <t>x</t>
  </si>
  <si>
    <t>Tetrabrombisfenol A</t>
  </si>
  <si>
    <t>HBCDD</t>
  </si>
  <si>
    <t>PBDE-209</t>
  </si>
  <si>
    <t>PBDE-154</t>
  </si>
  <si>
    <t>PBDE-99</t>
  </si>
  <si>
    <t>Tetraetylbly</t>
  </si>
  <si>
    <t>MTBE</t>
  </si>
  <si>
    <t>Alifater &gt;C12-C35</t>
  </si>
  <si>
    <t>Alifater &gt;C10-C12</t>
  </si>
  <si>
    <t>Sum alifater &gt; C5-C10</t>
  </si>
  <si>
    <t>Alifater &gt; C8-C10</t>
  </si>
  <si>
    <t>Alifater &gt; C6-C8</t>
  </si>
  <si>
    <t>Alifater  C5-C6</t>
  </si>
  <si>
    <t>Xylen</t>
  </si>
  <si>
    <t>Etylbensen</t>
  </si>
  <si>
    <t>Toluen</t>
  </si>
  <si>
    <t>Bensen</t>
  </si>
  <si>
    <t>Benzo(g,h,i)perylen</t>
  </si>
  <si>
    <t>Dibenzo(a,h)antracen</t>
  </si>
  <si>
    <t>Indeno(1,2,3-cd)pyren</t>
  </si>
  <si>
    <t>Benso(a)pyren</t>
  </si>
  <si>
    <t>Benzo(k)fluoranten</t>
  </si>
  <si>
    <t>Benzo(b)fluoranten</t>
  </si>
  <si>
    <t>Krysen</t>
  </si>
  <si>
    <t>Benzo(a)antracen</t>
  </si>
  <si>
    <t>Pyrene</t>
  </si>
  <si>
    <t>Fluoranten</t>
  </si>
  <si>
    <t>Fluoren</t>
  </si>
  <si>
    <t>Antracen</t>
  </si>
  <si>
    <t>Fenantren</t>
  </si>
  <si>
    <t>Acenaften</t>
  </si>
  <si>
    <t>Acenaftalen</t>
  </si>
  <si>
    <t>Naftalen</t>
  </si>
  <si>
    <t>PAH totalt</t>
  </si>
  <si>
    <t>Pentaklorfenol</t>
  </si>
  <si>
    <t>Sum mono,di,tri,tetra</t>
  </si>
  <si>
    <t>Fenol</t>
  </si>
  <si>
    <t>1,1,2-trikloretan</t>
  </si>
  <si>
    <t>1,1,1-trikloretan</t>
  </si>
  <si>
    <t>1,2-dibrometan</t>
  </si>
  <si>
    <t>1,2-dikloretan</t>
  </si>
  <si>
    <t>Tetrakloreten</t>
  </si>
  <si>
    <t>Tetraklormetan</t>
  </si>
  <si>
    <t>Trikloreten</t>
  </si>
  <si>
    <t>Triklormetan</t>
  </si>
  <si>
    <t>Diklormetan</t>
  </si>
  <si>
    <t>Heksaklorbensen</t>
  </si>
  <si>
    <t>Pentaklorbensen</t>
  </si>
  <si>
    <t>1,2,4,5-tetraklorbensen</t>
  </si>
  <si>
    <t>1,3,5-triklorbensen</t>
  </si>
  <si>
    <t>1,2,3-triklorbensen</t>
  </si>
  <si>
    <t>1,2,4-triklorbensen</t>
  </si>
  <si>
    <t>1,4-diklorbensen</t>
  </si>
  <si>
    <t>1,2-diklorbensen</t>
  </si>
  <si>
    <t>Monoklorbensen</t>
  </si>
  <si>
    <t>DDT</t>
  </si>
  <si>
    <t>Lindan</t>
  </si>
  <si>
    <t>PCB CAS1336-36-3</t>
  </si>
  <si>
    <t>uorganisk</t>
  </si>
  <si>
    <t>Cyanid fri</t>
  </si>
  <si>
    <t>Nikkel</t>
  </si>
  <si>
    <t>Krom totalt (III + VI)</t>
  </si>
  <si>
    <t>Krom (VI)</t>
  </si>
  <si>
    <t>Krom (III)</t>
  </si>
  <si>
    <t>Sink</t>
  </si>
  <si>
    <t>Kobber</t>
  </si>
  <si>
    <t>Kvikksølv</t>
  </si>
  <si>
    <t>Kadmium</t>
  </si>
  <si>
    <t>Bly</t>
  </si>
  <si>
    <t>Arsen</t>
  </si>
  <si>
    <t>Koc (l/kg)</t>
  </si>
  <si>
    <t>Kd (l/kg)</t>
  </si>
  <si>
    <t>Organisk eller uorganisk</t>
  </si>
  <si>
    <t>Stoff</t>
  </si>
  <si>
    <t>Begrunnelse</t>
  </si>
  <si>
    <t>Anvendt verdi</t>
  </si>
  <si>
    <t>Sjablong-verdi</t>
  </si>
  <si>
    <t xml:space="preserve"> </t>
  </si>
  <si>
    <t>Generelle områdeparametere</t>
  </si>
  <si>
    <t>Hvis ja, legg inn målte konsentrasjoner i ark 1e</t>
  </si>
  <si>
    <t>Hvis ja, legg inn målte konsentrasjoner i ark 1c</t>
  </si>
  <si>
    <t>Hvis ja, legg inn målte konsentrasjoner i ark 1d</t>
  </si>
  <si>
    <t>Er det målt porevannskonsentrasjon? (sett kryss)</t>
  </si>
  <si>
    <t>Nei</t>
  </si>
  <si>
    <t>Ja</t>
  </si>
  <si>
    <t>Prøve 241</t>
  </si>
  <si>
    <t>Prøve 240</t>
  </si>
  <si>
    <t>Prøve 239</t>
  </si>
  <si>
    <t>Prøve 238</t>
  </si>
  <si>
    <t>Prøve 237</t>
  </si>
  <si>
    <t>Prøve 236</t>
  </si>
  <si>
    <t>Prøve 235</t>
  </si>
  <si>
    <t>Prøve 234</t>
  </si>
  <si>
    <t>Prøve 233</t>
  </si>
  <si>
    <t>Prøve 232</t>
  </si>
  <si>
    <t>Prøve 231</t>
  </si>
  <si>
    <t>Prøve 230</t>
  </si>
  <si>
    <t>Prøve 229</t>
  </si>
  <si>
    <t>Prøve 228</t>
  </si>
  <si>
    <t>Prøve 227</t>
  </si>
  <si>
    <t>Prøve 226</t>
  </si>
  <si>
    <t>Prøve 225</t>
  </si>
  <si>
    <t>Prøve 224</t>
  </si>
  <si>
    <t>Prøve 223</t>
  </si>
  <si>
    <t>Prøve 222</t>
  </si>
  <si>
    <t>Prøve 221</t>
  </si>
  <si>
    <t>Prøve 220</t>
  </si>
  <si>
    <t>Prøve 219</t>
  </si>
  <si>
    <t>Prøve 218</t>
  </si>
  <si>
    <t>Prøve 217</t>
  </si>
  <si>
    <t>Prøve 216</t>
  </si>
  <si>
    <t>Prøve 215</t>
  </si>
  <si>
    <t>Prøve 214</t>
  </si>
  <si>
    <t>Prøve 213</t>
  </si>
  <si>
    <t>Prøve 212</t>
  </si>
  <si>
    <t>Prøve 211</t>
  </si>
  <si>
    <t>Prøve 210</t>
  </si>
  <si>
    <t>Prøve 209</t>
  </si>
  <si>
    <t>Prøve 208</t>
  </si>
  <si>
    <t>Prøve 207</t>
  </si>
  <si>
    <t>Prøve 206</t>
  </si>
  <si>
    <t>Prøve 205</t>
  </si>
  <si>
    <t>Prøve 204</t>
  </si>
  <si>
    <t>Prøve 203</t>
  </si>
  <si>
    <t>Prøve 202</t>
  </si>
  <si>
    <t>Prøve 201</t>
  </si>
  <si>
    <t>Prøve 200</t>
  </si>
  <si>
    <t>Prøve 199</t>
  </si>
  <si>
    <t>Prøve 198</t>
  </si>
  <si>
    <t>Prøve 197</t>
  </si>
  <si>
    <t>Prøve 196</t>
  </si>
  <si>
    <t>Prøve 195</t>
  </si>
  <si>
    <t>Prøve 194</t>
  </si>
  <si>
    <t>Prøve 193</t>
  </si>
  <si>
    <t>Prøve 192</t>
  </si>
  <si>
    <t>Prøve 191</t>
  </si>
  <si>
    <t>Prøve 190</t>
  </si>
  <si>
    <t>Prøve 189</t>
  </si>
  <si>
    <t>Prøve 188</t>
  </si>
  <si>
    <t>Prøve 187</t>
  </si>
  <si>
    <t>Prøve 186</t>
  </si>
  <si>
    <t>Prøve 185</t>
  </si>
  <si>
    <t>Prøve 184</t>
  </si>
  <si>
    <t>Prøve 183</t>
  </si>
  <si>
    <t>Prøve 182</t>
  </si>
  <si>
    <t>Prøve 181</t>
  </si>
  <si>
    <t>Prøve 180</t>
  </si>
  <si>
    <t>Prøve 179</t>
  </si>
  <si>
    <t>Prøve 178</t>
  </si>
  <si>
    <t>Prøve 177</t>
  </si>
  <si>
    <t>Prøve 176</t>
  </si>
  <si>
    <t>Prøve 175</t>
  </si>
  <si>
    <t>Prøve 174</t>
  </si>
  <si>
    <t>Prøve 173</t>
  </si>
  <si>
    <t>Prøve 172</t>
  </si>
  <si>
    <t>Prøve 171</t>
  </si>
  <si>
    <t>Prøve 170</t>
  </si>
  <si>
    <t>Prøve 169</t>
  </si>
  <si>
    <t>Prøve 168</t>
  </si>
  <si>
    <t>Prøve 167</t>
  </si>
  <si>
    <t>Prøve 166</t>
  </si>
  <si>
    <t>Prøve 165</t>
  </si>
  <si>
    <t>Prøve 164</t>
  </si>
  <si>
    <t>Prøve 163</t>
  </si>
  <si>
    <t>Prøve 162</t>
  </si>
  <si>
    <t>Prøve 161</t>
  </si>
  <si>
    <t>Prøve 160</t>
  </si>
  <si>
    <t>Prøve 159</t>
  </si>
  <si>
    <t>Prøve 158</t>
  </si>
  <si>
    <t>Prøve 157</t>
  </si>
  <si>
    <t>Prøve 156</t>
  </si>
  <si>
    <t>Prøve 155</t>
  </si>
  <si>
    <t>Prøve 154</t>
  </si>
  <si>
    <t>Prøve 153</t>
  </si>
  <si>
    <t>Prøve 152</t>
  </si>
  <si>
    <t>Prøve 151</t>
  </si>
  <si>
    <t>Prøve 150</t>
  </si>
  <si>
    <t>Prøve 149</t>
  </si>
  <si>
    <t>Prøve 148</t>
  </si>
  <si>
    <t>Prøve 147</t>
  </si>
  <si>
    <t>Prøve 146</t>
  </si>
  <si>
    <t>Prøve 145</t>
  </si>
  <si>
    <t>Prøve 144</t>
  </si>
  <si>
    <t>Prøve 143</t>
  </si>
  <si>
    <t>Prøve 142</t>
  </si>
  <si>
    <t>Prøve 141</t>
  </si>
  <si>
    <t>Prøve 140</t>
  </si>
  <si>
    <t>Prøve 139</t>
  </si>
  <si>
    <t>Prøve 138</t>
  </si>
  <si>
    <t>Prøve 137</t>
  </si>
  <si>
    <t>Prøve 136</t>
  </si>
  <si>
    <t>Prøve 135</t>
  </si>
  <si>
    <t>Prøve 134</t>
  </si>
  <si>
    <t>Prøve 133</t>
  </si>
  <si>
    <t>Prøve 132</t>
  </si>
  <si>
    <t>Prøve 131</t>
  </si>
  <si>
    <t>Prøve 130</t>
  </si>
  <si>
    <t>Prøve 129</t>
  </si>
  <si>
    <t>Prøve 128</t>
  </si>
  <si>
    <t>Prøve 127</t>
  </si>
  <si>
    <t>Prøve 126</t>
  </si>
  <si>
    <t>Prøve 125</t>
  </si>
  <si>
    <t>Prøve 124</t>
  </si>
  <si>
    <t>Prøve 123</t>
  </si>
  <si>
    <t>Prøve 122</t>
  </si>
  <si>
    <t>Prøve 121</t>
  </si>
  <si>
    <t>Prøve 120</t>
  </si>
  <si>
    <t>Prøve 119</t>
  </si>
  <si>
    <t>Prøve 118</t>
  </si>
  <si>
    <t>Prøve 117</t>
  </si>
  <si>
    <t>Prøve 116</t>
  </si>
  <si>
    <t>Prøve 115</t>
  </si>
  <si>
    <t>Prøve 114</t>
  </si>
  <si>
    <t>Prøve 113</t>
  </si>
  <si>
    <t>Prøve 112</t>
  </si>
  <si>
    <t>Prøve 111</t>
  </si>
  <si>
    <t>Prøve 110</t>
  </si>
  <si>
    <t>Prøve 109</t>
  </si>
  <si>
    <t>Prøve 108</t>
  </si>
  <si>
    <t>Prøve 107</t>
  </si>
  <si>
    <t>Prøve 106</t>
  </si>
  <si>
    <t>Prøve 105</t>
  </si>
  <si>
    <t>Prøve 104</t>
  </si>
  <si>
    <t>Prøve 103</t>
  </si>
  <si>
    <t>Prøve 102</t>
  </si>
  <si>
    <t>Prøve 101</t>
  </si>
  <si>
    <t>Prøve 100</t>
  </si>
  <si>
    <t>Prøve 99</t>
  </si>
  <si>
    <t>Prøve 98</t>
  </si>
  <si>
    <t>Prøve 97</t>
  </si>
  <si>
    <t>Prøve 96</t>
  </si>
  <si>
    <t>Prøve 95</t>
  </si>
  <si>
    <t>Prøve 94</t>
  </si>
  <si>
    <t>Prøve 93</t>
  </si>
  <si>
    <t>Prøve 92</t>
  </si>
  <si>
    <t>Prøve 91</t>
  </si>
  <si>
    <t>Prøve 90</t>
  </si>
  <si>
    <t>Prøve 89</t>
  </si>
  <si>
    <t>Prøve 88</t>
  </si>
  <si>
    <t>Prøve 87</t>
  </si>
  <si>
    <t>Prøve 86</t>
  </si>
  <si>
    <t>Prøve 85</t>
  </si>
  <si>
    <t>Prøve 84</t>
  </si>
  <si>
    <t>Prøve 83</t>
  </si>
  <si>
    <t>Prøve 82</t>
  </si>
  <si>
    <t>Prøve 81</t>
  </si>
  <si>
    <t>Prøve 80</t>
  </si>
  <si>
    <t>Prøve 79</t>
  </si>
  <si>
    <t>Prøve 78</t>
  </si>
  <si>
    <t>Prøve 77</t>
  </si>
  <si>
    <t>Prøve 76</t>
  </si>
  <si>
    <t>Prøve 75</t>
  </si>
  <si>
    <t>Prøve 74</t>
  </si>
  <si>
    <t>Prøve 73</t>
  </si>
  <si>
    <t>Prøve 72</t>
  </si>
  <si>
    <t>Prøve 71</t>
  </si>
  <si>
    <t>Prøve 70</t>
  </si>
  <si>
    <t>Prøve 69</t>
  </si>
  <si>
    <t>Prøve 68</t>
  </si>
  <si>
    <t>Prøve 67</t>
  </si>
  <si>
    <t>Prøve 66</t>
  </si>
  <si>
    <t>Prøve 65</t>
  </si>
  <si>
    <t>Prøve 64</t>
  </si>
  <si>
    <t>Prøve 63</t>
  </si>
  <si>
    <t>Prøve 62</t>
  </si>
  <si>
    <t>Prøve 61</t>
  </si>
  <si>
    <t>Prøve 60</t>
  </si>
  <si>
    <t>Prøve 59</t>
  </si>
  <si>
    <t>Prøve 58</t>
  </si>
  <si>
    <t>Prøve 57</t>
  </si>
  <si>
    <t>Prøve 56</t>
  </si>
  <si>
    <t>Prøve 55</t>
  </si>
  <si>
    <t>Prøve 54</t>
  </si>
  <si>
    <t>Prøve 53</t>
  </si>
  <si>
    <t>Prøve 52</t>
  </si>
  <si>
    <t>Prøve 51</t>
  </si>
  <si>
    <t>Prøve 50</t>
  </si>
  <si>
    <t>Prøve 49</t>
  </si>
  <si>
    <t>Prøve 48</t>
  </si>
  <si>
    <t>Prøve 47</t>
  </si>
  <si>
    <t>Prøve 46</t>
  </si>
  <si>
    <t>Prøve 45</t>
  </si>
  <si>
    <t>Prøve 44</t>
  </si>
  <si>
    <t>Prøve 43</t>
  </si>
  <si>
    <t>Prøve 42</t>
  </si>
  <si>
    <t>Prøve 41</t>
  </si>
  <si>
    <t>Prøve 40</t>
  </si>
  <si>
    <t>Prøve 39</t>
  </si>
  <si>
    <t>Prøve 38</t>
  </si>
  <si>
    <t>Prøve 37</t>
  </si>
  <si>
    <t>Prøve 36</t>
  </si>
  <si>
    <t>Prøve 35</t>
  </si>
  <si>
    <t>Prøve 34</t>
  </si>
  <si>
    <t>Prøve 33</t>
  </si>
  <si>
    <t>Prøve 32</t>
  </si>
  <si>
    <t>Prøve 31</t>
  </si>
  <si>
    <t>Prøve 30</t>
  </si>
  <si>
    <t>Prøve 29</t>
  </si>
  <si>
    <t>Prøve 28</t>
  </si>
  <si>
    <t>Prøve 27</t>
  </si>
  <si>
    <t>Prøve 26</t>
  </si>
  <si>
    <t>Prøve 25</t>
  </si>
  <si>
    <t>Prøve 24</t>
  </si>
  <si>
    <t>Prøve 23</t>
  </si>
  <si>
    <t>Prøve 22</t>
  </si>
  <si>
    <t>Prøve 21</t>
  </si>
  <si>
    <t>Prøve 20</t>
  </si>
  <si>
    <t>Prøve 19</t>
  </si>
  <si>
    <t>Prøve 18</t>
  </si>
  <si>
    <t>Prøve 17</t>
  </si>
  <si>
    <t>Prøve 16</t>
  </si>
  <si>
    <t>Prøve 15</t>
  </si>
  <si>
    <t>Prøve 14</t>
  </si>
  <si>
    <t>Prøve 13</t>
  </si>
  <si>
    <t>Prøve 12</t>
  </si>
  <si>
    <t>Prøve 11</t>
  </si>
  <si>
    <t>Prøve 10</t>
  </si>
  <si>
    <t>Prøve 9</t>
  </si>
  <si>
    <t>Prøve 8</t>
  </si>
  <si>
    <t>Prøve 7</t>
  </si>
  <si>
    <t>Prøve 6</t>
  </si>
  <si>
    <t>Prøve 5</t>
  </si>
  <si>
    <t>Prøve 4</t>
  </si>
  <si>
    <t>Prøve 3</t>
  </si>
  <si>
    <t>Prøve 2</t>
  </si>
  <si>
    <t>Prøve 1</t>
  </si>
  <si>
    <t>Antall  prøver</t>
  </si>
  <si>
    <t>Kontroll av homogenitet</t>
  </si>
  <si>
    <t>-</t>
  </si>
  <si>
    <t xml:space="preserve">    </t>
  </si>
  <si>
    <t>M-241 / M-608</t>
  </si>
  <si>
    <t>REACH-AF AF:10</t>
  </si>
  <si>
    <t>REACH-ecotox AF:1</t>
  </si>
  <si>
    <t>REACH-AF AF:50</t>
  </si>
  <si>
    <t>REACH-AF AF:1000</t>
  </si>
  <si>
    <t>REACH-AF AF:2</t>
  </si>
  <si>
    <t>REACH-AF AF:100</t>
  </si>
  <si>
    <t>0.025 (0.01)</t>
  </si>
  <si>
    <t>&lt;0.01</t>
  </si>
  <si>
    <t>0.5 - 20 (ind. cong.)</t>
  </si>
  <si>
    <t>EU dossier (dichloromethane)</t>
  </si>
  <si>
    <t>EU dossier (trichloromethane)</t>
  </si>
  <si>
    <t>REACH-AF AF:500</t>
  </si>
  <si>
    <t>EU dossier (1,2-DCE)</t>
  </si>
  <si>
    <t>EU dossier (benzene)</t>
  </si>
  <si>
    <t>REACH-AF AF:10000</t>
  </si>
  <si>
    <r>
      <t>C</t>
    </r>
    <r>
      <rPr>
        <b/>
        <vertAlign val="subscript"/>
        <sz val="9"/>
        <rFont val="Arial"/>
        <family val="2"/>
      </rPr>
      <t xml:space="preserve">jord, max </t>
    </r>
    <r>
      <rPr>
        <b/>
        <sz val="9"/>
        <rFont val="Arial"/>
        <family val="2"/>
      </rPr>
      <t xml:space="preserve">      (mg/kg t.v.)</t>
    </r>
  </si>
  <si>
    <r>
      <t>C</t>
    </r>
    <r>
      <rPr>
        <b/>
        <vertAlign val="subscript"/>
        <sz val="9"/>
        <rFont val="Arial"/>
        <family val="2"/>
      </rPr>
      <t xml:space="preserve">jord, middel   </t>
    </r>
    <r>
      <rPr>
        <b/>
        <sz val="9"/>
        <rFont val="Arial"/>
        <family val="2"/>
      </rPr>
      <t xml:space="preserve">  (mg/kg t.v.)</t>
    </r>
  </si>
  <si>
    <r>
      <t>C</t>
    </r>
    <r>
      <rPr>
        <b/>
        <vertAlign val="subscript"/>
        <sz val="9"/>
        <rFont val="Arial"/>
        <family val="2"/>
      </rPr>
      <t>jord, max</t>
    </r>
    <r>
      <rPr>
        <b/>
        <sz val="9"/>
        <rFont val="Arial"/>
        <family val="2"/>
      </rPr>
      <t xml:space="preserve"> / C</t>
    </r>
    <r>
      <rPr>
        <b/>
        <vertAlign val="subscript"/>
        <sz val="9"/>
        <rFont val="Arial"/>
        <family val="2"/>
      </rPr>
      <t>jord, median</t>
    </r>
    <r>
      <rPr>
        <b/>
        <vertAlign val="subscript"/>
        <sz val="8"/>
        <rFont val="Arial"/>
        <family val="2"/>
      </rPr>
      <t xml:space="preserve">  </t>
    </r>
    <r>
      <rPr>
        <b/>
        <sz val="8"/>
        <rFont val="Arial"/>
        <family val="2"/>
      </rPr>
      <t>(Verdi større enn 2 kan tyde på inhomogenitet/ hotspot)</t>
    </r>
  </si>
  <si>
    <t>Målt porevann konsentrasjon</t>
  </si>
  <si>
    <t>Målt umettet jordkonsentrasjon</t>
  </si>
  <si>
    <r>
      <t>C</t>
    </r>
    <r>
      <rPr>
        <b/>
        <vertAlign val="subscript"/>
        <sz val="9"/>
        <rFont val="Arial"/>
        <family val="2"/>
      </rPr>
      <t xml:space="preserve">porevann, max </t>
    </r>
    <r>
      <rPr>
        <b/>
        <sz val="9"/>
        <rFont val="Arial"/>
        <family val="2"/>
      </rPr>
      <t xml:space="preserve">      (mg/L)</t>
    </r>
  </si>
  <si>
    <r>
      <t>C</t>
    </r>
    <r>
      <rPr>
        <b/>
        <vertAlign val="subscript"/>
        <sz val="9"/>
        <rFont val="Arial"/>
        <family val="2"/>
      </rPr>
      <t xml:space="preserve">porevann, middel   </t>
    </r>
    <r>
      <rPr>
        <b/>
        <sz val="9"/>
        <rFont val="Arial"/>
        <family val="2"/>
      </rPr>
      <t xml:space="preserve">  (mg/L)</t>
    </r>
  </si>
  <si>
    <r>
      <t>C</t>
    </r>
    <r>
      <rPr>
        <b/>
        <vertAlign val="subscript"/>
        <sz val="9"/>
        <rFont val="Arial"/>
        <family val="2"/>
      </rPr>
      <t>porevann, max</t>
    </r>
    <r>
      <rPr>
        <b/>
        <sz val="9"/>
        <rFont val="Arial"/>
        <family val="2"/>
      </rPr>
      <t xml:space="preserve"> / C</t>
    </r>
    <r>
      <rPr>
        <b/>
        <vertAlign val="subscript"/>
        <sz val="9"/>
        <rFont val="Arial"/>
        <family val="2"/>
      </rPr>
      <t>porevann, median</t>
    </r>
    <r>
      <rPr>
        <b/>
        <vertAlign val="subscript"/>
        <sz val="8"/>
        <rFont val="Arial"/>
        <family val="2"/>
      </rPr>
      <t xml:space="preserve">  </t>
    </r>
    <r>
      <rPr>
        <b/>
        <sz val="8"/>
        <rFont val="Arial"/>
        <family val="2"/>
      </rPr>
      <t>(Verdi større enn 2 kan tyde på inhomogenitet/ hotspot)</t>
    </r>
  </si>
  <si>
    <r>
      <t>C</t>
    </r>
    <r>
      <rPr>
        <b/>
        <vertAlign val="subscript"/>
        <sz val="9"/>
        <rFont val="Arial"/>
        <family val="2"/>
      </rPr>
      <t xml:space="preserve">grunnvann, max </t>
    </r>
    <r>
      <rPr>
        <b/>
        <sz val="9"/>
        <rFont val="Arial"/>
        <family val="2"/>
      </rPr>
      <t xml:space="preserve">      (mg/L)</t>
    </r>
  </si>
  <si>
    <t>Målt grunnvann konsentrasjon</t>
  </si>
  <si>
    <r>
      <t>C</t>
    </r>
    <r>
      <rPr>
        <b/>
        <vertAlign val="subscript"/>
        <sz val="9"/>
        <rFont val="Arial"/>
        <family val="2"/>
      </rPr>
      <t xml:space="preserve">grunnvann, middel   </t>
    </r>
    <r>
      <rPr>
        <b/>
        <sz val="9"/>
        <rFont val="Arial"/>
        <family val="2"/>
      </rPr>
      <t xml:space="preserve">  (mg/L)</t>
    </r>
  </si>
  <si>
    <r>
      <t>C</t>
    </r>
    <r>
      <rPr>
        <b/>
        <vertAlign val="subscript"/>
        <sz val="9"/>
        <rFont val="Arial"/>
        <family val="2"/>
      </rPr>
      <t>grunnvann, max</t>
    </r>
    <r>
      <rPr>
        <b/>
        <sz val="9"/>
        <rFont val="Arial"/>
        <family val="2"/>
      </rPr>
      <t xml:space="preserve"> / C</t>
    </r>
    <r>
      <rPr>
        <b/>
        <vertAlign val="subscript"/>
        <sz val="9"/>
        <rFont val="Arial"/>
        <family val="2"/>
      </rPr>
      <t>grunnvann, median</t>
    </r>
    <r>
      <rPr>
        <b/>
        <vertAlign val="subscript"/>
        <sz val="8"/>
        <rFont val="Arial"/>
        <family val="2"/>
      </rPr>
      <t xml:space="preserve">  </t>
    </r>
    <r>
      <rPr>
        <b/>
        <sz val="8"/>
        <rFont val="Arial"/>
        <family val="2"/>
      </rPr>
      <t>(Verdi større enn 2 kan tyde på inhomogenitet/ hotspot)</t>
    </r>
  </si>
  <si>
    <r>
      <t>C</t>
    </r>
    <r>
      <rPr>
        <b/>
        <vertAlign val="subscript"/>
        <sz val="9"/>
        <rFont val="Arial"/>
        <family val="2"/>
      </rPr>
      <t xml:space="preserve">vann, max </t>
    </r>
    <r>
      <rPr>
        <b/>
        <sz val="9"/>
        <rFont val="Arial"/>
        <family val="2"/>
      </rPr>
      <t xml:space="preserve">      (mg/L)</t>
    </r>
  </si>
  <si>
    <r>
      <t>C</t>
    </r>
    <r>
      <rPr>
        <b/>
        <vertAlign val="subscript"/>
        <sz val="9"/>
        <rFont val="Arial"/>
        <family val="2"/>
      </rPr>
      <t xml:space="preserve">vann, middel   </t>
    </r>
    <r>
      <rPr>
        <b/>
        <sz val="9"/>
        <rFont val="Arial"/>
        <family val="2"/>
      </rPr>
      <t xml:space="preserve">  (mg/L)</t>
    </r>
  </si>
  <si>
    <t>Er det målt grunnvannskonsentrasjon? (sett kryss)</t>
  </si>
  <si>
    <t>Grunnleggende jord parametere</t>
  </si>
  <si>
    <r>
      <t>f</t>
    </r>
    <r>
      <rPr>
        <vertAlign val="subscript"/>
        <sz val="10"/>
        <rFont val="Arial"/>
        <family val="2"/>
      </rPr>
      <t>OC</t>
    </r>
    <r>
      <rPr>
        <sz val="10"/>
        <rFont val="Arial"/>
        <family val="2"/>
      </rPr>
      <t xml:space="preserve"> (-)</t>
    </r>
  </si>
  <si>
    <t>nystoff 1</t>
  </si>
  <si>
    <t>nystoff 2</t>
  </si>
  <si>
    <t>nystoff 3</t>
  </si>
  <si>
    <t>nystoff 4</t>
  </si>
  <si>
    <t>nystoff 5</t>
  </si>
  <si>
    <t>nystoff 6</t>
  </si>
  <si>
    <t>nystoff 7</t>
  </si>
  <si>
    <t>nystoff 8</t>
  </si>
  <si>
    <t>nystoff 9</t>
  </si>
  <si>
    <t>nystoff 10</t>
  </si>
  <si>
    <t>nystoff 11</t>
  </si>
  <si>
    <t>nystoff 12</t>
  </si>
  <si>
    <t>nystoff 13</t>
  </si>
  <si>
    <t>nystoff 14</t>
  </si>
  <si>
    <t>nystoff 15</t>
  </si>
  <si>
    <t>nystoff 16</t>
  </si>
  <si>
    <t>nystoff 17</t>
  </si>
  <si>
    <t>nystoff 18</t>
  </si>
  <si>
    <t>nystoff 19</t>
  </si>
  <si>
    <t>nystoff 20</t>
  </si>
  <si>
    <t>nystoff 21</t>
  </si>
  <si>
    <t>nystoff 22</t>
  </si>
  <si>
    <t>nystoff 23</t>
  </si>
  <si>
    <t>nystoff 24</t>
  </si>
  <si>
    <t>nystoff 25</t>
  </si>
  <si>
    <t>nystoff 26</t>
  </si>
  <si>
    <t>nystoff 27</t>
  </si>
  <si>
    <t>nystoff 28</t>
  </si>
  <si>
    <t>Norm-verdi Jord (mg/kg)</t>
  </si>
  <si>
    <t>PNEC fv
(µg/L)
ny</t>
  </si>
  <si>
    <t>PNEC fv
ref
ny</t>
  </si>
  <si>
    <t>PNEC kv
(µg/L)
ny</t>
  </si>
  <si>
    <t>PNEC kv
ref
ny</t>
  </si>
  <si>
    <t>Nedbrytnings-hastighet 
begrunnelse</t>
  </si>
  <si>
    <t>Hvis ja, legg inn nedbryttningshastighet i ark "stoff" (koloner L-O)</t>
  </si>
  <si>
    <t>Hvis ja, legg inn nedbryttningshastighet i ark "stoff" (koloner P-R)</t>
  </si>
  <si>
    <t>Nedbrytnings-hastighet 
umettet 
(1/d)
Anvendt
verdi</t>
  </si>
  <si>
    <t>Nedbrytnings-hastighet 
mettet 
(1/d)
Anvendt
verdi</t>
  </si>
  <si>
    <t>Nedbrytnings-hastighet 
resipient
(1/d)
Anvendt
verdi</t>
  </si>
  <si>
    <t>UMETTET SONE GENERELLE PARAMETERE</t>
  </si>
  <si>
    <t>METTET SONE GENERELLE PARAMETERE</t>
  </si>
  <si>
    <t>Er stedsspessifik Kd/Koc kjent? (sett kryss)</t>
  </si>
  <si>
    <t>Hvis ja, legg inn nedbryttningshastighet i ark "stoff" (koloner D-E)</t>
  </si>
  <si>
    <t>RESIPIENT GENERELLE PARAMETERE</t>
  </si>
  <si>
    <t>Ny Kd/Koc begrunnelse</t>
  </si>
  <si>
    <t>sjablong</t>
  </si>
  <si>
    <r>
      <t>grunnvann løsmasser kons. (</t>
    </r>
    <r>
      <rPr>
        <sz val="10"/>
        <rFont val="Calibri"/>
        <family val="2"/>
      </rPr>
      <t>m</t>
    </r>
    <r>
      <rPr>
        <sz val="10"/>
        <rFont val="Arial"/>
        <family val="2"/>
      </rPr>
      <t>g/kg)</t>
    </r>
  </si>
  <si>
    <t>Kd umettet (L/kg)</t>
  </si>
  <si>
    <t>Kd mettet (L/kg)</t>
  </si>
  <si>
    <t>Resipient fortynning</t>
  </si>
  <si>
    <t>Resipient vann opphold</t>
  </si>
  <si>
    <t>chem</t>
  </si>
  <si>
    <t>Umettet</t>
  </si>
  <si>
    <t>Mettet</t>
  </si>
  <si>
    <r>
      <rPr>
        <sz val="11"/>
        <color theme="1"/>
        <rFont val="Calibri"/>
        <family val="2"/>
        <scheme val="minor"/>
      </rPr>
      <t>M</t>
    </r>
    <r>
      <rPr>
        <vertAlign val="subscript"/>
        <sz val="11"/>
        <color theme="1"/>
        <rFont val="Calibri"/>
        <family val="2"/>
        <scheme val="minor"/>
      </rPr>
      <t>ums_fri</t>
    </r>
  </si>
  <si>
    <t>tid med maks fri kons i mettet sone (år)</t>
  </si>
  <si>
    <t>tid med maks colloid kons i mettet sone (år)</t>
  </si>
  <si>
    <r>
      <t>M</t>
    </r>
    <r>
      <rPr>
        <vertAlign val="subscript"/>
        <sz val="11"/>
        <color theme="1"/>
        <rFont val="Calibri"/>
        <family val="2"/>
        <scheme val="minor"/>
      </rPr>
      <t>ms_fri</t>
    </r>
  </si>
  <si>
    <r>
      <t>k</t>
    </r>
    <r>
      <rPr>
        <vertAlign val="subscript"/>
        <sz val="11"/>
        <color theme="1"/>
        <rFont val="Calibri"/>
        <family val="2"/>
        <scheme val="minor"/>
      </rPr>
      <t>res_colloid</t>
    </r>
    <r>
      <rPr>
        <sz val="11"/>
        <color theme="1"/>
        <rFont val="Calibri"/>
        <family val="2"/>
        <scheme val="minor"/>
      </rPr>
      <t xml:space="preserve"> (1/år)</t>
    </r>
  </si>
  <si>
    <r>
      <t>k</t>
    </r>
    <r>
      <rPr>
        <vertAlign val="subscript"/>
        <sz val="11"/>
        <color theme="1"/>
        <rFont val="Calibri"/>
        <family val="2"/>
        <scheme val="minor"/>
      </rPr>
      <t>res_stoff</t>
    </r>
    <r>
      <rPr>
        <sz val="11"/>
        <color theme="1"/>
        <rFont val="Calibri"/>
        <family val="2"/>
        <scheme val="minor"/>
      </rPr>
      <t xml:space="preserve"> (1/år)</t>
    </r>
  </si>
  <si>
    <t>Mettet tid</t>
  </si>
  <si>
    <t>Resipient tid</t>
  </si>
  <si>
    <t>colloidal maks (år)</t>
  </si>
  <si>
    <t>Approximat maks</t>
  </si>
  <si>
    <t>Tid maks</t>
  </si>
  <si>
    <t>MELLOMBEREGNINGER</t>
  </si>
  <si>
    <t>UMETTET SONE</t>
  </si>
  <si>
    <t>METTET SONE</t>
  </si>
  <si>
    <t>middel jord kons 
etter 5 år
(mg/kg)</t>
  </si>
  <si>
    <t>middel jord kons 
etter 20 år
(mg/kg)</t>
  </si>
  <si>
    <t>middel jord kons 
etter 100 år
(mg/kg)</t>
  </si>
  <si>
    <t>x Normverdier
nå
(-)</t>
  </si>
  <si>
    <t>middel jord kons 
maks kons
(mg/kg)</t>
  </si>
  <si>
    <t>x Normverdier
etter 5 år
(-)</t>
  </si>
  <si>
    <t>x Normverdier
etter 20 år
(-)</t>
  </si>
  <si>
    <t>x Normverdier
etter 100 år
(-)</t>
  </si>
  <si>
    <t>x Normverdier
maks kons
(-)</t>
  </si>
  <si>
    <t>x EQS/PNEC (ferskvann)
etter 5 år
(-)</t>
  </si>
  <si>
    <t>x EQS/PNEC (ferskvann)
etter 20 år
(-)</t>
  </si>
  <si>
    <t>x EQS/PNEC (ferskvann)
etter 100 år
(-)</t>
  </si>
  <si>
    <t>x EQS/PNEC (ferskvann)
maks kons
(-)</t>
  </si>
  <si>
    <t>Mengde levert fra umettet sone til resipient i
etter 5 år
(kg)</t>
  </si>
  <si>
    <t>Mengde levert fra umettet sone til resipient i
etter 20 år
(kg)</t>
  </si>
  <si>
    <t>Mengde levert fra umettet sone til resipient i
etter 100 år
(kg)</t>
  </si>
  <si>
    <t>Mengde levert fra umettet sone til resipient i
ved maks kons. 
(kg)</t>
  </si>
  <si>
    <t>tid til normverdier
(år)</t>
  </si>
  <si>
    <t>middel grunnvann kons 
etter 5 år
(µg/L)</t>
  </si>
  <si>
    <t>middel grunnvann kons 
etter 20 år
(µg/L)</t>
  </si>
  <si>
    <t>middel grunnvann kons 
etter 100 år
(µg/L)</t>
  </si>
  <si>
    <t>middel grunnvann kons 
maks kons
(µg/L)</t>
  </si>
  <si>
    <t>middel resipient kons
måletid
(µg/L)</t>
  </si>
  <si>
    <t>middel resipient kons
etter 5 år
(µg/L)</t>
  </si>
  <si>
    <t>middel resipient kons
etter 100 år
(µg/L)</t>
  </si>
  <si>
    <t>middel resipient kons
maks kons
(µg/L)</t>
  </si>
  <si>
    <t>total kg utslipp ved maks</t>
  </si>
  <si>
    <t>PNEC fv
(µg/L)
aquateam</t>
  </si>
  <si>
    <t>Fraksjon av nedbør som infiltrerer</t>
  </si>
  <si>
    <t>Vannfylt porevolum i umettetsone (m3/m3)</t>
  </si>
  <si>
    <t>Forurensningsgrad og historikk</t>
  </si>
  <si>
    <t>JA</t>
  </si>
  <si>
    <t>NEI</t>
  </si>
  <si>
    <t>Kilder til informasjon</t>
  </si>
  <si>
    <t>Kommentar / vurdering</t>
  </si>
  <si>
    <t>Tidligere grunnundersøkelser, geoteknikk og miljø, samt relevant informasjon fra byggesaker (tiltaksplaner, sluttrapporter</t>
  </si>
  <si>
    <t>Overvåkingsdata om lokalitet</t>
  </si>
  <si>
    <t>Nåværende og tidligere virksomheter som kan ha forårsaket forurensning</t>
  </si>
  <si>
    <t>Kjente deponier eller fyllinger</t>
  </si>
  <si>
    <t>Informasjon om masser brukt til utfylling / arealutvinning</t>
  </si>
  <si>
    <t>Oljetanker og oljeutskillere, inkludert de som er fjernet / flyttet på</t>
  </si>
  <si>
    <t>Kjente forurensnings- eller akutte hendelser</t>
  </si>
  <si>
    <t>Berggrunn og løsmasser (kvartærgeologi)</t>
  </si>
  <si>
    <t>Annen relevant informasjon kan spesifiseres</t>
  </si>
  <si>
    <t>Er det planlagte aktiviteter på eiendommen?</t>
  </si>
  <si>
    <t>Byggesak</t>
  </si>
  <si>
    <t>Terrenginngrep</t>
  </si>
  <si>
    <t>Endret arealbruk</t>
  </si>
  <si>
    <t>Andre tiltak</t>
  </si>
  <si>
    <t>Aktuelle spredningsveier</t>
  </si>
  <si>
    <t>Overflatevann</t>
  </si>
  <si>
    <t>Kummer og rør, inkl. traseer som ikke er i bruk</t>
  </si>
  <si>
    <t>Drenering: går drensvann til overvann eller spillvann?</t>
  </si>
  <si>
    <t>Resipientforhold</t>
  </si>
  <si>
    <t>Miljømål / mål om tilstand i Vannforskriften</t>
  </si>
  <si>
    <t>Drikkevannskilder</t>
  </si>
  <si>
    <t>Matproduksjon</t>
  </si>
  <si>
    <t>Klimaeffekter</t>
  </si>
  <si>
    <t>Dato</t>
  </si>
  <si>
    <t>Prosjekt</t>
  </si>
  <si>
    <t>Boksmodell for spredningsberegning</t>
  </si>
  <si>
    <t>Versjon</t>
  </si>
  <si>
    <r>
      <rPr>
        <sz val="11"/>
        <color theme="1"/>
        <rFont val="Calibri"/>
        <family val="2"/>
        <scheme val="minor"/>
      </rPr>
      <t>C</t>
    </r>
    <r>
      <rPr>
        <vertAlign val="subscript"/>
        <sz val="11"/>
        <color theme="1"/>
        <rFont val="Calibri"/>
        <family val="2"/>
        <scheme val="minor"/>
      </rPr>
      <t>ms_pw colloidal</t>
    </r>
  </si>
  <si>
    <r>
      <rPr>
        <sz val="11"/>
        <color theme="1"/>
        <rFont val="Calibri"/>
        <family val="2"/>
        <scheme val="minor"/>
      </rPr>
      <t>C</t>
    </r>
    <r>
      <rPr>
        <vertAlign val="subscript"/>
        <sz val="11"/>
        <color theme="1"/>
        <rFont val="Calibri"/>
        <family val="2"/>
        <scheme val="minor"/>
      </rPr>
      <t>ms_pw fritt løst</t>
    </r>
  </si>
  <si>
    <r>
      <t>M</t>
    </r>
    <r>
      <rPr>
        <vertAlign val="subscript"/>
        <sz val="11"/>
        <color theme="1"/>
        <rFont val="Calibri"/>
        <family val="2"/>
        <scheme val="minor"/>
      </rPr>
      <t>fritt_løst_fra_mettet_zone_per_res_tid_resipient</t>
    </r>
    <r>
      <rPr>
        <sz val="11"/>
        <color theme="1"/>
        <rFont val="Calibri"/>
        <family val="2"/>
        <scheme val="minor"/>
      </rPr>
      <t xml:space="preserve"> (kg)</t>
    </r>
  </si>
  <si>
    <r>
      <t>M</t>
    </r>
    <r>
      <rPr>
        <vertAlign val="subscript"/>
        <sz val="11"/>
        <color theme="1"/>
        <rFont val="Calibri"/>
        <family val="2"/>
        <scheme val="minor"/>
      </rPr>
      <t>colloidal_fra_mettet_zone_per_res_tid_resipient</t>
    </r>
  </si>
  <si>
    <r>
      <t>M</t>
    </r>
    <r>
      <rPr>
        <vertAlign val="subscript"/>
        <sz val="11"/>
        <color theme="1"/>
        <rFont val="Calibri"/>
        <family val="2"/>
        <scheme val="minor"/>
      </rPr>
      <t>recipient_fritt_løst_current</t>
    </r>
  </si>
  <si>
    <r>
      <rPr>
        <sz val="11"/>
        <color theme="1"/>
        <rFont val="Calibri"/>
        <family val="2"/>
        <scheme val="minor"/>
      </rPr>
      <t>C</t>
    </r>
    <r>
      <rPr>
        <vertAlign val="subscript"/>
        <sz val="11"/>
        <color theme="1"/>
        <rFont val="Calibri"/>
        <family val="2"/>
        <scheme val="minor"/>
      </rPr>
      <t>ms_pw_frittløst</t>
    </r>
  </si>
  <si>
    <r>
      <rPr>
        <sz val="11"/>
        <color theme="1"/>
        <rFont val="Calibri"/>
        <family val="2"/>
        <scheme val="minor"/>
      </rPr>
      <t>C</t>
    </r>
    <r>
      <rPr>
        <vertAlign val="subscript"/>
        <sz val="11"/>
        <color theme="1"/>
        <rFont val="Calibri"/>
        <family val="2"/>
        <scheme val="minor"/>
      </rPr>
      <t>ms_pw_colloidal</t>
    </r>
  </si>
  <si>
    <r>
      <t>M</t>
    </r>
    <r>
      <rPr>
        <vertAlign val="subscript"/>
        <sz val="11"/>
        <color theme="1"/>
        <rFont val="Calibri"/>
        <family val="2"/>
        <scheme val="minor"/>
      </rPr>
      <t>fritt_løst_fra_mettet_zone_per_res_tid_resipient</t>
    </r>
  </si>
  <si>
    <t>Row</t>
  </si>
  <si>
    <t>h</t>
  </si>
  <si>
    <t>RESIPIENT SONE</t>
  </si>
  <si>
    <t>Q forurenset gv som tilføres i resipient</t>
  </si>
  <si>
    <r>
      <t>m</t>
    </r>
    <r>
      <rPr>
        <vertAlign val="superscript"/>
        <sz val="11"/>
        <color theme="1"/>
        <rFont val="Calibri"/>
        <family val="2"/>
        <scheme val="minor"/>
      </rPr>
      <t>3</t>
    </r>
    <r>
      <rPr>
        <sz val="11"/>
        <color theme="1"/>
        <rFont val="Calibri"/>
        <family val="2"/>
        <scheme val="minor"/>
      </rPr>
      <t>/år</t>
    </r>
  </si>
  <si>
    <t>Grunnvann, tidevann</t>
  </si>
  <si>
    <t>Erosjon (inkludert flom, skred) eller annen partikkelspredning</t>
  </si>
  <si>
    <t>Masseforflytning utført av grunneier eller andre</t>
  </si>
  <si>
    <t>Kjent forurensning i resipient (rapporterte vannkvalitets-, sjøbunn-, biotadata)</t>
  </si>
  <si>
    <t>Sårbar natur (rødlistede arter, vernede områder osv.)</t>
  </si>
  <si>
    <t>Forurensningsegenskaper (for viktigste forurensninger: forventet oppførsel, toksisitet, bioakkumulering osv.)</t>
  </si>
  <si>
    <t>Andre relevante forhold som kan spesifiseres</t>
  </si>
  <si>
    <t>Økt erosjon og partikkelspredning som følge av hendelser med esktremnedbør</t>
  </si>
  <si>
    <t>Lokalitetens eller omkringliggende områders potensial som grunnvannsressurs</t>
  </si>
  <si>
    <t>X</t>
  </si>
  <si>
    <t>Er det målt løsmassekonsentrasjon i mettet sone (akvifer)? (sett kryss)</t>
  </si>
  <si>
    <t>Er nedbryttningshastighet av utvalgte stoffer bestemt? (sett kryss)</t>
  </si>
  <si>
    <t>Er kolloidialbunnet fraksjon av utvalgte stoffer kjent? (sett kryss)</t>
  </si>
  <si>
    <t>1/Fortynningsfaktor resipient(-)</t>
  </si>
  <si>
    <t>Fortynningsfaktor resipient (-)</t>
  </si>
  <si>
    <t>Q forurenset grunnvann som tilføres i resipient (m3/år)</t>
  </si>
  <si>
    <t xml:space="preserve">Strømningshastighet i umettet sone (m/år) </t>
  </si>
  <si>
    <r>
      <t xml:space="preserve">Bulkdensitet til løsmasser, </t>
    </r>
    <r>
      <rPr>
        <sz val="9"/>
        <rFont val="Symbol"/>
        <family val="1"/>
        <charset val="2"/>
      </rPr>
      <t>r</t>
    </r>
    <r>
      <rPr>
        <vertAlign val="subscript"/>
        <sz val="9"/>
        <rFont val="Arial"/>
        <family val="2"/>
      </rPr>
      <t>jord</t>
    </r>
    <r>
      <rPr>
        <sz val="9"/>
        <rFont val="Arial"/>
        <family val="2"/>
      </rPr>
      <t xml:space="preserve"> [kg/l]</t>
    </r>
  </si>
  <si>
    <r>
      <t xml:space="preserve">Bulkdensitet jord, </t>
    </r>
    <r>
      <rPr>
        <sz val="9"/>
        <rFont val="Symbol"/>
        <family val="1"/>
        <charset val="2"/>
      </rPr>
      <t>r</t>
    </r>
    <r>
      <rPr>
        <vertAlign val="subscript"/>
        <sz val="9"/>
        <rFont val="Arial"/>
        <family val="2"/>
      </rPr>
      <t>jord</t>
    </r>
    <r>
      <rPr>
        <sz val="9"/>
        <rFont val="Arial"/>
        <family val="2"/>
      </rPr>
      <t xml:space="preserve"> [kg/dm3]</t>
    </r>
  </si>
  <si>
    <t>Effektiv Porøsitet, ε</t>
  </si>
  <si>
    <t>Lengde forurensingsoverflate i grunnvannsretning (m)</t>
  </si>
  <si>
    <t>Bredde forurensingsoverflate på tvers av grunnvannsretning (m)</t>
  </si>
  <si>
    <t>Areal av forurenset område (m2)</t>
  </si>
  <si>
    <t>1/Fortynningsfaktor porevann til grunnvann (-)</t>
  </si>
  <si>
    <t>Lik lengde forurenset området, konservativ  verdi</t>
  </si>
  <si>
    <t>Øvre grense TK2 eller 2 x normverdi</t>
  </si>
  <si>
    <t>Generelle områdeparametere grunnvann</t>
  </si>
  <si>
    <t>Lengde akvifer = lengde forurenset areal i gr.vannsretning + avstand til resipient (m)</t>
  </si>
  <si>
    <r>
      <t xml:space="preserve">k </t>
    </r>
    <r>
      <rPr>
        <vertAlign val="subscript"/>
        <sz val="9"/>
        <rFont val="Arial"/>
        <family val="2"/>
      </rPr>
      <t xml:space="preserve">umettet sone uten sorpsjon </t>
    </r>
    <r>
      <rPr>
        <sz val="9"/>
        <rFont val="Arial"/>
        <family val="2"/>
      </rPr>
      <t>(1/år)</t>
    </r>
  </si>
  <si>
    <r>
      <t xml:space="preserve">k </t>
    </r>
    <r>
      <rPr>
        <vertAlign val="subscript"/>
        <sz val="9"/>
        <rFont val="Arial"/>
        <family val="2"/>
      </rPr>
      <t xml:space="preserve">mettet sone uten sorpsjon </t>
    </r>
    <r>
      <rPr>
        <sz val="9"/>
        <rFont val="Arial"/>
        <family val="2"/>
      </rPr>
      <t>(1/år)</t>
    </r>
  </si>
  <si>
    <t>Beskrivelse</t>
  </si>
  <si>
    <t>Målt konsentrasjon mettet sone</t>
  </si>
  <si>
    <t>Målt resipient konsentrasjon</t>
  </si>
  <si>
    <t>estimert mengde målt
(kg)</t>
  </si>
  <si>
    <t>middel jord kons 
målt
(mg/kg)</t>
  </si>
  <si>
    <t>estimert mengde
målt
(kg)</t>
  </si>
  <si>
    <t>middel grunnvann kons 
målt
(µg/L)</t>
  </si>
  <si>
    <t>middel jord kons 
tid til maks 
(år)</t>
  </si>
  <si>
    <t>x EQS/PNEC (ferskvann)
nå
(-)</t>
  </si>
  <si>
    <t>middel grunnvann kons 
tid til maks 
år</t>
  </si>
  <si>
    <t>x EQS/PNEC (ferskvann)
målt
(-)</t>
  </si>
  <si>
    <t>middel resipient kons
tid til maks 
år</t>
  </si>
  <si>
    <t>estimert mengde
nå
(kg)</t>
  </si>
  <si>
    <t>Mengde levert fra umettet sone til resipient i
uendelig tid
(kg)</t>
  </si>
  <si>
    <t>Opprinnelig mengde i umettet sone</t>
  </si>
  <si>
    <t>grunnvann</t>
  </si>
  <si>
    <t>Maks gjennomsnitt kons fritt-løst i resipient</t>
  </si>
  <si>
    <t>tid til maks (estimat)</t>
  </si>
  <si>
    <t>Maks gjennomsnitt kons mettet zone - kolloidal transport</t>
  </si>
  <si>
    <t>Mengde levert fra umettet sone til resipient</t>
  </si>
  <si>
    <t>Kons.</t>
  </si>
  <si>
    <t>Rad nummer til stoff som skal plottes:</t>
  </si>
  <si>
    <t xml:space="preserve">Revisjonsnummer </t>
  </si>
  <si>
    <t>Omfang</t>
  </si>
  <si>
    <t>Henvisning</t>
  </si>
  <si>
    <t>Brukerveiledning - regneark</t>
  </si>
  <si>
    <t>Stoffdata</t>
  </si>
  <si>
    <t>Revisjonsprotokoll</t>
  </si>
  <si>
    <t>Dette arket viser revisjoner som er utført for regnearket.</t>
  </si>
  <si>
    <t>0 Sjekkliste</t>
  </si>
  <si>
    <t>Dette arket er en sjekkliste som brukes ifm. skrivebordundersøkelsen (fase 1 kartleggingen). Det skal vises til hvilke kilder man bruker (gamle rapporter, nettsider, databaser, kart) og hvor man har innhentet informasjonen (innhentet selv eller fra eget arkiv, ev. mottatt fra oppdragsgiver, myndigheter eller andre). Valgene man tar skal begrunnes.</t>
  </si>
  <si>
    <t>1 a. Spredningsmodell input</t>
  </si>
  <si>
    <t>1 b. Konsentrasjoner i umettet jord</t>
  </si>
  <si>
    <t>1 c. Konsentrasjoner i porevann</t>
  </si>
  <si>
    <t>1 d. Konsentrasjoner i mettet sone</t>
  </si>
  <si>
    <t>1 e. Konsentrasjoner i grunnvann</t>
  </si>
  <si>
    <t>1 f. Konsentrasjoner i resipient</t>
  </si>
  <si>
    <t>Endring i infiltrasjon fra økt nedbør og / eller snøsmelting</t>
  </si>
  <si>
    <t>Fare for flom / ras / erosjon / stormflo og om klimaendringer kan øke denne risikoen</t>
  </si>
  <si>
    <t>Spredning er beregnet for et område på 100 x 100 m med jordkonsentrasjoner lik øvre grense for TK2 eller 2 x Normverdi. Alle stedspesifike parametere er satt konservativt. Dette fører blant annet til at resipienten bare mates med grunnvann fra området og det ikke skjer fortynning fra grunnvann til resipient, ved en blandingsdybde i grunnvannet på 1 m (grafene i output er sammenfallende). Legg inn 2 m på blandingsdybde for å se grunnvann og resipient konsentrasjonen adskilt.</t>
  </si>
  <si>
    <t>Vanlig bulktetthet for sand</t>
  </si>
  <si>
    <t>Øvre grense for sand / grus masser</t>
  </si>
  <si>
    <t>Halvparten av porevolumet konservativt høy</t>
  </si>
  <si>
    <t>Konservativt, stor mektighet av forurensningen</t>
  </si>
  <si>
    <t>Konservativ høy verdi for sentrale strøk</t>
  </si>
  <si>
    <t>Maksimumverdi for grus uten evapotranspirasjon</t>
  </si>
  <si>
    <t>Effektiv porøsitet, ε</t>
  </si>
  <si>
    <t>Akvifer av sand har veldig lavt TOC-innhold: 0,1%</t>
  </si>
  <si>
    <t>Q total i resipient / Oppholdstid i resipient</t>
  </si>
  <si>
    <t>Mellomberegninger</t>
  </si>
  <si>
    <t>2a. Prognose umettet jord</t>
  </si>
  <si>
    <t>2b. Prognose mettet sone</t>
  </si>
  <si>
    <t>2c. Prognose grunnvann</t>
  </si>
  <si>
    <t>2d. Prognose resipient</t>
  </si>
  <si>
    <t>Figur - Output</t>
  </si>
  <si>
    <t>Dette regnearket er utarbeidet for å kunne utføre regneoperasjonene i henhold til spredningsveilederen. Regnearket skal sørge for at beregningsgrunnlaget synliggjøres.</t>
  </si>
  <si>
    <t xml:space="preserve">Dette arket gir brukeren muligheten til å legge inn stedsspesifikke data for lokaliteten som skal vurderes. Det foreligger sjablongverdier for de fleste parametrene, men i kolonnen "anvendt verdi" kan man legge inn andre verdier. Dette må i tilfelle begrunnes i kommentarfeltet. </t>
  </si>
  <si>
    <t>I dette arket skal målte jordkonsentrasjoner legges inn. Legg også inn navn på prøvene. Basert på det som legges inn, beregnes antall prøver, snittkonsentrasjon og maksimumskonsentrasjon for hvert stoff. Disse verdiene benyttes videre av regnearket. I tillegg beregnes forholdet mellom høyeste verdi og medianverdi for hver av stoffene det er lagt inn konsentrasjoner for. Dersom forholdet er lavere enn 2, tyder det på at datasettet gir en god beskrivelse av området og at det ikke skiller seg ut en prøve som kunne indikere en "hotspot".</t>
  </si>
  <si>
    <t>I dette arket skal målte konsentrasjoner av løsmasser under grunnvannstanden (akviferen) legges inn. Legg også inn navn på prøvene. Basert på det som legges inn, beregnes antall prøver, snittkonsentrasjon, maksimumskonsentrasjon for hvert stoff. Verdiene benyttes videre av regnearket. Dersom det ikke er målt løsmassekonsentrasjoner i akviferen, beregner regnearket verdier ut i fra jordkonsentrasjon i umettet sone, fordelingskoeffsienter (Kd) og fortynningsfaktoren porevann-grunnvann.</t>
  </si>
  <si>
    <t>I dette arket skal målte porevannskonsentrasjoner legges inn. Legg også inn navn på prøvene. Basert på det som legges inn, beregnes antall prøver, snittkonsentrasjon og maksimumskonsentrasjon for hvert stoff. Verdiene benyttes videre av regnearket til å beregne en stedspesifikk Kd verdi. Dersom det ikke er målt porevannskonsentrasjoner, vil regnearket benytte beregnet porevannskonsentrasjon ved bruk av Kd i Stoff liste</t>
  </si>
  <si>
    <t xml:space="preserve">I dette arket skal målte resipientkonsentrasjoner legges inn. Legg også inn navn på prøvene. Basert på det som legges inn, beregnes antall prøver, snittkonsentrasjon, maksimumskonsentrasjon for hvert stoff. Verdiene benyttes videre av regnearket. Dersom det ikke er målt grunnvannskonsentrasjoner, beregner regnearket verdier ut i fra jordkonsentrasjon, fordelingskoeffsienter (Kd) og fortynningsfaktoren porevann-grunnvann. </t>
  </si>
  <si>
    <t xml:space="preserve"> I dette arket skal målte grunnvannskonsentrasjoner legges inn. Legg også inn navn på prøvene. Basert på det som legges inn, beregnes antall prøver, snittkonsentrasjon, maksimumskonsentrasjon for hvert stoff. Verdiene benyttes videre av regnearket. Dersom det ikke er målt grunnvannskonsentrasjoner, beregner regnearket verdier ut i fra jordkonsentrasjon, fordelingskoeffsienter (Kd) og fortynningsfaktoren porevann-grunnvann. </t>
  </si>
  <si>
    <r>
      <t xml:space="preserve">Dette arket inneholder diverse mellomberegninger som må til for å beregne spredning . </t>
    </r>
    <r>
      <rPr>
        <i/>
        <sz val="10"/>
        <rFont val="Arial"/>
        <family val="2"/>
      </rPr>
      <t>Det skal ikke legges inn tall i dette arket.</t>
    </r>
  </si>
  <si>
    <r>
      <t>Dette arket beregner mengde og konsentrasjon av forurensningen i jordprøvene i umettet sone over tid</t>
    </r>
    <r>
      <rPr>
        <i/>
        <sz val="10"/>
        <rFont val="Arial"/>
        <family val="2"/>
      </rPr>
      <t>.</t>
    </r>
  </si>
  <si>
    <t>Dette arket beregner mengde og konsentrasjon av forurensningen i løsmasser i mettet sone over tid.</t>
  </si>
  <si>
    <t>Dette arket beregner mengde og konsentrasjon av forurensningen i grunnvannet over tid og sammenligner med EQS/PNEC verdiene.</t>
  </si>
  <si>
    <r>
      <t>Dette arket beregner mengde og konsentrasjon av forurensningen i grunnvannet over tid og sammenligner med EQS/PNEC verdiene.</t>
    </r>
    <r>
      <rPr>
        <sz val="11"/>
        <color rgb="FFFF0000"/>
        <rFont val="Calibri"/>
        <family val="2"/>
        <scheme val="minor"/>
      </rPr>
      <t/>
    </r>
  </si>
  <si>
    <t>Figur - Beregninger (hide)</t>
  </si>
  <si>
    <t>Dette arket gjør beregningene som er nødvendig for å kunne vise figurere i output arket og skal være skylt i den endelige utgaven av verktøyet</t>
  </si>
  <si>
    <t xml:space="preserve">Dette arket gir en oppsummering av sluttresultater for enkelt forbindelsene; stoff nummer må legges inn i øverste rad etter nummerering i ark 1b. Kons. umettet jord. Figuren viser jordkonsentrasjoner, grunnvanns og resipient konsentrasjoner over tid og sammenligner de med EQS/PNEC. Figuren til venstre viser faststoff: jord og løsmasser; figuren til høyere viser vann: porevann, grunnvann og resipient. Mengde spredd beregnes etter 5, 20 og 100 år. </t>
  </si>
  <si>
    <t>Dette arket angir standardverdier for de ulike stoffene som spredningsveilederen omfatter. Det skal ikke legges inn egne verdier i dette arket med unntak av fraksjon kolloidal bundet dersom det skal fravikes fra 5% standarden.</t>
  </si>
  <si>
    <t>Påvirket vannvolum i resipient (m3/år)</t>
  </si>
  <si>
    <t xml:space="preserve">Nedenfor følger en kort forklaring om funksjonen til de ulike arkene. Grønne ark angir ark hvor brukeren skal legge inn data, gule ark angir beregninger som utføres, og blå ark angir resultatarket. Grå ark inneholder mellomberegninger og stoffdata som ikke skal endres. </t>
  </si>
  <si>
    <t>Ny fraksjon kolloidal 
begrunnelse</t>
  </si>
  <si>
    <t>middel resipient kons etter 20 år
(µg/L)</t>
  </si>
  <si>
    <t>Leveranse 09.07.2018</t>
  </si>
  <si>
    <t>Mass/Volms</t>
  </si>
  <si>
    <t>Q*oppholdstid</t>
  </si>
  <si>
    <t>Korrigert hvordan Csoil (mg/kg) er beregnet fra Csoil (mg/L) (se ligning Cunsat,soil(t)) - tidliger vann fraction (teta) var ikke med</t>
  </si>
  <si>
    <t xml:space="preserve">Korrigert time max bergning med første del (1/km) - mettet zone rate constant, isteden fra 1/kum (umettetzone rate constant) </t>
  </si>
  <si>
    <t>Figur-Beregninger Cell Kolonne L; Mellomregninger Kolonne AD,AP,BB,BN,BZ</t>
  </si>
  <si>
    <t>Figur-Bereginger P3,Q3, Mellomberigninger Kolloner V og AH</t>
  </si>
  <si>
    <r>
      <t xml:space="preserve">Miljødirektoratet M-XXX </t>
    </r>
    <r>
      <rPr>
        <sz val="16"/>
        <color theme="1"/>
        <rFont val="Calibri"/>
        <family val="2"/>
      </rPr>
      <t>Ι 2020</t>
    </r>
  </si>
  <si>
    <t>vanlig verdi i mineralsk jord (1% TOC)</t>
  </si>
  <si>
    <t>Standard areal 2 500 m2</t>
  </si>
  <si>
    <r>
      <t>Grus / pukk k= 10</t>
    </r>
    <r>
      <rPr>
        <vertAlign val="superscript"/>
        <sz val="9"/>
        <color theme="1"/>
        <rFont val="Arial"/>
        <family val="2"/>
      </rPr>
      <t>-3</t>
    </r>
    <r>
      <rPr>
        <sz val="9"/>
        <color theme="1"/>
        <rFont val="Arial"/>
        <family val="2"/>
      </rPr>
      <t xml:space="preserve"> m/s med gradient 0,03 og porøsitet 0,40</t>
    </r>
  </si>
  <si>
    <t>Tilsvarende risikovurdering humanhelse</t>
  </si>
  <si>
    <t>Bekk med vannføring på 160 L/s</t>
  </si>
  <si>
    <t>Oppdatert Kd verdier i henhold til rapport 20160648-04-R og spredningsparameter i henhold til Risikoveileder Humanhelse 2020</t>
  </si>
  <si>
    <r>
      <rPr>
        <b/>
        <sz val="10"/>
        <rFont val="Arial"/>
        <family val="2"/>
      </rPr>
      <t>INPUT: Målt konsentrasjon i mettet sone, C</t>
    </r>
    <r>
      <rPr>
        <b/>
        <vertAlign val="subscript"/>
        <sz val="10"/>
        <rFont val="Arial"/>
        <family val="2"/>
      </rPr>
      <t xml:space="preserve">jord </t>
    </r>
    <r>
      <rPr>
        <b/>
        <sz val="10"/>
        <rFont val="Arial"/>
        <family val="2"/>
      </rPr>
      <t>(mg/kg t.v.)</t>
    </r>
  </si>
  <si>
    <r>
      <rPr>
        <b/>
        <sz val="10"/>
        <rFont val="Arial"/>
        <family val="2"/>
      </rPr>
      <t>INPUT: Målt porevannskonsentrasjon, C</t>
    </r>
    <r>
      <rPr>
        <b/>
        <vertAlign val="subscript"/>
        <sz val="10"/>
        <rFont val="Arial"/>
        <family val="2"/>
      </rPr>
      <t xml:space="preserve">porevann </t>
    </r>
    <r>
      <rPr>
        <b/>
        <sz val="10"/>
        <rFont val="Arial"/>
        <family val="2"/>
      </rPr>
      <t>(mg/L)</t>
    </r>
  </si>
  <si>
    <r>
      <rPr>
        <b/>
        <sz val="10"/>
        <rFont val="Arial"/>
        <family val="2"/>
      </rPr>
      <t>INPUT: Målt jordkonsentrasjon, C</t>
    </r>
    <r>
      <rPr>
        <b/>
        <vertAlign val="subscript"/>
        <sz val="10"/>
        <rFont val="Arial"/>
        <family val="2"/>
      </rPr>
      <t xml:space="preserve">jord </t>
    </r>
    <r>
      <rPr>
        <b/>
        <sz val="10"/>
        <rFont val="Arial"/>
        <family val="2"/>
      </rPr>
      <t>(mg/kg t.v.)</t>
    </r>
  </si>
  <si>
    <r>
      <t>INPUT: Målt grunnvannskonsentrasjon, C</t>
    </r>
    <r>
      <rPr>
        <b/>
        <vertAlign val="subscript"/>
        <sz val="10"/>
        <rFont val="Arial"/>
        <family val="2"/>
      </rPr>
      <t xml:space="preserve">grunnvann </t>
    </r>
    <r>
      <rPr>
        <b/>
        <sz val="10"/>
        <rFont val="Arial"/>
        <family val="2"/>
      </rPr>
      <t>(mg/L)</t>
    </r>
  </si>
  <si>
    <r>
      <rPr>
        <b/>
        <sz val="10"/>
        <rFont val="Arial"/>
        <family val="2"/>
      </rPr>
      <t>INPUT: Målt konsentrasjon i resipient, C</t>
    </r>
    <r>
      <rPr>
        <b/>
        <vertAlign val="subscript"/>
        <sz val="10"/>
        <rFont val="Arial"/>
        <family val="2"/>
      </rPr>
      <t xml:space="preserve">vann </t>
    </r>
    <r>
      <rPr>
        <b/>
        <sz val="10"/>
        <rFont val="Arial"/>
        <family val="2"/>
      </rPr>
      <t>(mg/L)</t>
    </r>
  </si>
  <si>
    <t>MÅLTE VERDIER</t>
  </si>
  <si>
    <t>Fraksjon
kolloidal 
(-)
Sjablong
uorganisk = 0.05
log Koc&gt;4 = 0.05
annet =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</si>
</sst>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 #,##0.00_ ;_ * \-#,##0.00_ ;_ * &quot;-&quot;??_ ;_ @_ "/>
    <numFmt numFmtId="165" formatCode="0.000"/>
    <numFmt numFmtId="166" formatCode="0.0000"/>
    <numFmt numFmtId="167" formatCode="0.00000"/>
    <numFmt numFmtId="168" formatCode="0.000000"/>
    <numFmt numFmtId="169" formatCode="0.0"/>
    <numFmt numFmtId="170" formatCode="0.0E+00"/>
    <numFmt numFmtId="171" formatCode="0.000%"/>
    <numFmt numFmtId="172" formatCode="0.0000000"/>
    <numFmt numFmtId="173" formatCode="0E+00"/>
  </numFmts>
  <fonts count="40" x14ac:knownFonts="1">
    <font>
      <sz val="11"/>
      <color theme="1"/>
      <name val="Calibri"/>
      <family val="2"/>
      <scheme val="minor"/>
    </font>
    <font>
      <vertAlign val="subscript"/>
      <sz val="11"/>
      <color theme="1"/>
      <name val="Calibri"/>
      <family val="2"/>
      <scheme val="minor"/>
    </font>
    <font>
      <b/>
      <sz val="14"/>
      <name val="Arial"/>
      <family val="2"/>
    </font>
    <font>
      <sz val="12"/>
      <name val="Arial"/>
      <family val="2"/>
    </font>
    <font>
      <sz val="10"/>
      <name val="Arial"/>
      <family val="2"/>
    </font>
    <font>
      <b/>
      <sz val="10"/>
      <name val="Arial"/>
      <family val="2"/>
    </font>
    <font>
      <sz val="10"/>
      <name val="Arial"/>
      <family val="2"/>
    </font>
    <font>
      <sz val="10"/>
      <name val="Calibri"/>
      <family val="2"/>
    </font>
    <font>
      <b/>
      <sz val="14"/>
      <color rgb="FFFF0000"/>
      <name val="Arial"/>
      <family val="2"/>
    </font>
    <font>
      <sz val="10"/>
      <color rgb="FFFF0000"/>
      <name val="Arial"/>
      <family val="2"/>
    </font>
    <font>
      <vertAlign val="subscript"/>
      <sz val="10"/>
      <name val="Arial"/>
      <family val="2"/>
    </font>
    <font>
      <b/>
      <sz val="11"/>
      <color theme="1"/>
      <name val="Calibri"/>
      <family val="2"/>
      <scheme val="minor"/>
    </font>
    <font>
      <sz val="10"/>
      <name val="Arial"/>
      <family val="2"/>
    </font>
    <font>
      <sz val="10"/>
      <color indexed="8"/>
      <name val="Arial"/>
      <family val="2"/>
    </font>
    <font>
      <b/>
      <sz val="8"/>
      <name val="Arial"/>
      <family val="2"/>
    </font>
    <font>
      <sz val="9"/>
      <name val="Arial"/>
      <family val="2"/>
    </font>
    <font>
      <vertAlign val="subscript"/>
      <sz val="9"/>
      <name val="Arial"/>
      <family val="2"/>
    </font>
    <font>
      <b/>
      <sz val="9"/>
      <name val="Arial"/>
      <family val="2"/>
    </font>
    <font>
      <b/>
      <vertAlign val="subscript"/>
      <sz val="9"/>
      <name val="Arial"/>
      <family val="2"/>
    </font>
    <font>
      <sz val="9"/>
      <name val="Symbol"/>
      <family val="1"/>
      <charset val="2"/>
    </font>
    <font>
      <b/>
      <vertAlign val="subscript"/>
      <sz val="8"/>
      <name val="Arial"/>
      <family val="2"/>
    </font>
    <font>
      <b/>
      <sz val="16"/>
      <color theme="1"/>
      <name val="Calibri"/>
      <family val="2"/>
      <scheme val="minor"/>
    </font>
    <font>
      <vertAlign val="superscript"/>
      <sz val="11"/>
      <color theme="1"/>
      <name val="Calibri"/>
      <family val="2"/>
      <scheme val="minor"/>
    </font>
    <font>
      <sz val="16"/>
      <color theme="1"/>
      <name val="Calibri"/>
      <family val="2"/>
      <scheme val="minor"/>
    </font>
    <font>
      <sz val="16"/>
      <color theme="1"/>
      <name val="Calibri"/>
      <family val="2"/>
    </font>
    <font>
      <sz val="11"/>
      <color theme="1"/>
      <name val="Calibri"/>
      <family val="2"/>
      <scheme val="minor"/>
    </font>
    <font>
      <sz val="9"/>
      <color theme="1"/>
      <name val="Calibri"/>
      <family val="2"/>
      <scheme val="minor"/>
    </font>
    <font>
      <sz val="9"/>
      <color theme="1"/>
      <name val="Arial"/>
      <family val="2"/>
    </font>
    <font>
      <sz val="10"/>
      <color theme="1"/>
      <name val="Arial"/>
      <family val="2"/>
    </font>
    <font>
      <vertAlign val="superscript"/>
      <sz val="9"/>
      <color theme="1"/>
      <name val="Arial"/>
      <family val="2"/>
    </font>
    <font>
      <b/>
      <sz val="10"/>
      <color rgb="FFFF0000"/>
      <name val="Arial"/>
      <family val="2"/>
    </font>
    <font>
      <sz val="10"/>
      <name val="Arial"/>
      <family val="2"/>
    </font>
    <font>
      <sz val="11"/>
      <color rgb="FFFF0000"/>
      <name val="Calibri"/>
      <family val="2"/>
      <scheme val="minor"/>
    </font>
    <font>
      <sz val="10"/>
      <color rgb="FFFF0000"/>
      <name val="Arial"/>
      <family val="2"/>
    </font>
    <font>
      <b/>
      <sz val="14"/>
      <name val="Calibri"/>
      <family val="2"/>
      <scheme val="minor"/>
    </font>
    <font>
      <sz val="14"/>
      <name val="Arial"/>
      <family val="2"/>
    </font>
    <font>
      <i/>
      <sz val="10"/>
      <name val="Arial"/>
      <family val="2"/>
    </font>
    <font>
      <sz val="11"/>
      <name val="Calibri"/>
      <family val="2"/>
      <scheme val="minor"/>
    </font>
    <font>
      <b/>
      <vertAlign val="subscript"/>
      <sz val="10"/>
      <name val="Arial"/>
      <family val="2"/>
    </font>
    <font>
      <b/>
      <sz val="11"/>
      <name val="Calibri"/>
      <family val="2"/>
      <scheme val="minor"/>
    </font>
  </fonts>
  <fills count="2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92D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E2EFD9"/>
        <bgColor indexed="64"/>
      </patternFill>
    </fill>
    <fill>
      <patternFill patternType="solid">
        <fgColor rgb="FFFBE4D5"/>
        <bgColor indexed="64"/>
      </patternFill>
    </fill>
    <fill>
      <patternFill patternType="solid">
        <fgColor rgb="FFFFFFCC"/>
      </patternFill>
    </fill>
    <fill>
      <patternFill patternType="solid">
        <fgColor rgb="FFFFFF99"/>
        <bgColor indexed="64"/>
      </patternFill>
    </fill>
    <fill>
      <patternFill patternType="solid">
        <fgColor indexed="42"/>
        <bgColor indexed="64"/>
      </patternFill>
    </fill>
    <fill>
      <patternFill patternType="solid">
        <fgColor indexed="43"/>
        <bgColor indexed="64"/>
      </patternFill>
    </fill>
    <fill>
      <patternFill patternType="solid">
        <fgColor theme="0" tint="-0.34998626667073579"/>
        <bgColor indexed="64"/>
      </patternFill>
    </fill>
    <fill>
      <patternFill patternType="solid">
        <fgColor rgb="FFCCFFCC"/>
        <bgColor indexed="64"/>
      </patternFill>
    </fill>
    <fill>
      <patternFill patternType="solid">
        <fgColor rgb="FFCCFFFF"/>
        <bgColor indexed="64"/>
      </patternFill>
    </fill>
    <fill>
      <patternFill patternType="solid">
        <fgColor theme="4" tint="0.59999389629810485"/>
        <bgColor indexed="64"/>
      </patternFill>
    </fill>
    <fill>
      <patternFill patternType="solid">
        <fgColor rgb="FFC5EAF1"/>
        <bgColor indexed="64"/>
      </patternFill>
    </fill>
  </fills>
  <borders count="4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thin">
        <color auto="1"/>
      </right>
      <top/>
      <bottom/>
      <diagonal/>
    </border>
    <border>
      <left style="thin">
        <color auto="1"/>
      </left>
      <right style="medium">
        <color indexed="64"/>
      </right>
      <top style="thin">
        <color auto="1"/>
      </top>
      <bottom style="medium">
        <color indexed="64"/>
      </bottom>
      <diagonal/>
    </border>
    <border>
      <left/>
      <right style="medium">
        <color indexed="64"/>
      </right>
      <top style="medium">
        <color indexed="64"/>
      </top>
      <bottom style="double">
        <color indexed="64"/>
      </bottom>
      <diagonal/>
    </border>
    <border>
      <left/>
      <right style="medium">
        <color indexed="64"/>
      </right>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medium">
        <color auto="1"/>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auto="1"/>
      </bottom>
      <diagonal/>
    </border>
    <border>
      <left style="medium">
        <color indexed="64"/>
      </left>
      <right/>
      <top/>
      <bottom style="thin">
        <color indexed="64"/>
      </bottom>
      <diagonal/>
    </border>
  </borders>
  <cellStyleXfs count="6">
    <xf numFmtId="0" fontId="0" fillId="0" borderId="0"/>
    <xf numFmtId="0" fontId="6" fillId="0" borderId="0"/>
    <xf numFmtId="0" fontId="12" fillId="0" borderId="0"/>
    <xf numFmtId="164" fontId="12" fillId="0" borderId="0" applyFont="0" applyFill="0" applyBorder="0" applyAlignment="0" applyProtection="0"/>
    <xf numFmtId="0" fontId="25" fillId="17" borderId="31" applyNumberFormat="0" applyFont="0" applyAlignment="0" applyProtection="0"/>
    <xf numFmtId="0" fontId="31" fillId="0" borderId="0"/>
  </cellStyleXfs>
  <cellXfs count="391">
    <xf numFmtId="0" fontId="0" fillId="0" borderId="0" xfId="0"/>
    <xf numFmtId="0" fontId="0" fillId="0" borderId="0" xfId="0" applyFill="1"/>
    <xf numFmtId="165" fontId="0" fillId="0" borderId="0" xfId="0" applyNumberFormat="1"/>
    <xf numFmtId="1" fontId="0" fillId="0" borderId="0" xfId="0" applyNumberFormat="1"/>
    <xf numFmtId="0" fontId="2" fillId="0" borderId="0" xfId="1" applyFont="1" applyAlignment="1" applyProtection="1"/>
    <xf numFmtId="0" fontId="2" fillId="0" borderId="0" xfId="1" applyFont="1"/>
    <xf numFmtId="0" fontId="3" fillId="0" borderId="0" xfId="1" applyFont="1" applyAlignment="1" applyProtection="1"/>
    <xf numFmtId="0" fontId="4" fillId="0" borderId="0" xfId="1" applyFont="1" applyProtection="1"/>
    <xf numFmtId="0" fontId="4" fillId="0" borderId="0" xfId="1" applyFont="1"/>
    <xf numFmtId="0" fontId="6" fillId="0" borderId="0" xfId="1"/>
    <xf numFmtId="2" fontId="0" fillId="0" borderId="0" xfId="0" applyNumberFormat="1"/>
    <xf numFmtId="2" fontId="6" fillId="0" borderId="0" xfId="1" applyNumberFormat="1"/>
    <xf numFmtId="1" fontId="6" fillId="0" borderId="0" xfId="1" applyNumberFormat="1"/>
    <xf numFmtId="0" fontId="5" fillId="0" borderId="0" xfId="1" applyFont="1" applyAlignment="1">
      <alignment wrapText="1"/>
    </xf>
    <xf numFmtId="1" fontId="4" fillId="0" borderId="0" xfId="1" applyNumberFormat="1" applyFont="1" applyAlignment="1">
      <alignment horizontal="center"/>
    </xf>
    <xf numFmtId="0" fontId="1" fillId="0" borderId="0" xfId="0" applyFont="1"/>
    <xf numFmtId="0" fontId="0" fillId="0" borderId="0" xfId="0" applyFont="1"/>
    <xf numFmtId="168" fontId="0" fillId="0" borderId="0" xfId="0" applyNumberFormat="1"/>
    <xf numFmtId="166" fontId="0" fillId="0" borderId="0" xfId="0" applyNumberFormat="1"/>
    <xf numFmtId="169" fontId="0" fillId="0" borderId="0" xfId="0" applyNumberFormat="1"/>
    <xf numFmtId="2" fontId="1" fillId="0" borderId="0" xfId="0" applyNumberFormat="1" applyFont="1"/>
    <xf numFmtId="2" fontId="0" fillId="0" borderId="0" xfId="0" applyNumberFormat="1" applyFont="1"/>
    <xf numFmtId="167" fontId="0" fillId="0" borderId="0" xfId="0" applyNumberFormat="1"/>
    <xf numFmtId="167" fontId="4" fillId="0" borderId="0" xfId="1" applyNumberFormat="1" applyFont="1" applyAlignment="1">
      <alignment horizontal="center"/>
    </xf>
    <xf numFmtId="0" fontId="4" fillId="0" borderId="0" xfId="1" applyFont="1" applyFill="1" applyProtection="1"/>
    <xf numFmtId="0" fontId="4" fillId="0" borderId="0" xfId="1" applyFont="1" applyFill="1" applyAlignment="1">
      <alignment horizontal="center"/>
    </xf>
    <xf numFmtId="0" fontId="6" fillId="0" borderId="0" xfId="1" applyFill="1"/>
    <xf numFmtId="2" fontId="4" fillId="0" borderId="0" xfId="1" applyNumberFormat="1" applyFont="1" applyFill="1" applyAlignment="1" applyProtection="1">
      <alignment horizontal="center"/>
    </xf>
    <xf numFmtId="2" fontId="4" fillId="0" borderId="0" xfId="1" applyNumberFormat="1" applyFont="1"/>
    <xf numFmtId="169" fontId="4" fillId="0" borderId="0" xfId="1" applyNumberFormat="1" applyFont="1" applyAlignment="1">
      <alignment horizontal="center"/>
    </xf>
    <xf numFmtId="0" fontId="4" fillId="0" borderId="0" xfId="1" quotePrefix="1" applyFont="1"/>
    <xf numFmtId="11" fontId="0" fillId="0" borderId="0" xfId="0" applyNumberFormat="1"/>
    <xf numFmtId="165" fontId="0" fillId="0" borderId="0" xfId="0" applyNumberFormat="1" applyFill="1"/>
    <xf numFmtId="167" fontId="0" fillId="0" borderId="0" xfId="0" applyNumberFormat="1" applyFont="1"/>
    <xf numFmtId="165" fontId="4" fillId="0" borderId="0" xfId="1" applyNumberFormat="1" applyFont="1" applyAlignment="1" applyProtection="1">
      <alignment horizontal="center"/>
    </xf>
    <xf numFmtId="0" fontId="2" fillId="0" borderId="1" xfId="1" applyFont="1" applyBorder="1" applyAlignment="1" applyProtection="1">
      <alignment horizontal="center"/>
    </xf>
    <xf numFmtId="166" fontId="0" fillId="0" borderId="0" xfId="0" quotePrefix="1" applyNumberFormat="1"/>
    <xf numFmtId="11" fontId="0" fillId="0" borderId="0" xfId="0" applyNumberFormat="1" applyFill="1"/>
    <xf numFmtId="0" fontId="11" fillId="0" borderId="0" xfId="0" applyFont="1"/>
    <xf numFmtId="0" fontId="0" fillId="0" borderId="0" xfId="0" applyAlignment="1">
      <alignment wrapText="1"/>
    </xf>
    <xf numFmtId="0" fontId="0" fillId="0" borderId="0" xfId="0" quotePrefix="1"/>
    <xf numFmtId="11" fontId="0" fillId="0" borderId="0" xfId="0" applyNumberFormat="1" applyAlignment="1">
      <alignment horizontal="right"/>
    </xf>
    <xf numFmtId="169" fontId="0" fillId="0" borderId="0" xfId="0" applyNumberFormat="1" applyAlignment="1">
      <alignment horizontal="right"/>
    </xf>
    <xf numFmtId="2" fontId="0" fillId="0" borderId="0" xfId="0" applyNumberFormat="1" applyAlignment="1">
      <alignment horizontal="right"/>
    </xf>
    <xf numFmtId="166" fontId="0" fillId="0" borderId="0" xfId="0" applyNumberFormat="1" applyFill="1"/>
    <xf numFmtId="2" fontId="0" fillId="0" borderId="0" xfId="0" applyNumberFormat="1" applyFill="1"/>
    <xf numFmtId="0" fontId="12" fillId="2" borderId="0" xfId="2" applyFill="1"/>
    <xf numFmtId="0" fontId="12" fillId="0" borderId="3" xfId="2" applyFill="1" applyBorder="1" applyProtection="1">
      <protection locked="0"/>
    </xf>
    <xf numFmtId="0" fontId="12" fillId="0" borderId="4" xfId="2" applyFill="1" applyBorder="1" applyProtection="1">
      <protection locked="0"/>
    </xf>
    <xf numFmtId="0" fontId="12" fillId="2" borderId="0" xfId="2" applyFill="1" applyBorder="1"/>
    <xf numFmtId="0" fontId="12" fillId="3" borderId="4" xfId="2" applyFill="1" applyBorder="1"/>
    <xf numFmtId="0" fontId="5" fillId="2" borderId="0" xfId="2" applyFont="1" applyFill="1" applyAlignment="1">
      <alignment vertical="top" wrapText="1"/>
    </xf>
    <xf numFmtId="0" fontId="12" fillId="0" borderId="0" xfId="2"/>
    <xf numFmtId="0" fontId="12" fillId="0" borderId="0" xfId="2" applyAlignment="1">
      <alignment horizontal="center"/>
    </xf>
    <xf numFmtId="11" fontId="15" fillId="0" borderId="4" xfId="2" applyNumberFormat="1" applyFont="1" applyBorder="1" applyAlignment="1" applyProtection="1">
      <alignment horizontal="center"/>
      <protection locked="0"/>
    </xf>
    <xf numFmtId="11" fontId="15" fillId="0" borderId="4" xfId="2" applyNumberFormat="1" applyFont="1" applyBorder="1" applyAlignment="1">
      <alignment horizontal="center"/>
    </xf>
    <xf numFmtId="2" fontId="15" fillId="0" borderId="4" xfId="2" applyNumberFormat="1" applyFont="1" applyBorder="1" applyAlignment="1" applyProtection="1">
      <alignment horizontal="center"/>
      <protection locked="0"/>
    </xf>
    <xf numFmtId="0" fontId="15" fillId="0" borderId="4" xfId="2" applyFont="1" applyBorder="1" applyAlignment="1">
      <alignment horizontal="center"/>
    </xf>
    <xf numFmtId="0" fontId="17" fillId="0" borderId="0" xfId="2" applyFont="1"/>
    <xf numFmtId="0" fontId="15" fillId="0" borderId="0" xfId="2" applyFont="1" applyBorder="1" applyAlignment="1">
      <alignment horizontal="left"/>
    </xf>
    <xf numFmtId="2" fontId="15" fillId="0" borderId="0" xfId="2" applyNumberFormat="1" applyFont="1" applyBorder="1" applyAlignment="1">
      <alignment horizontal="center"/>
    </xf>
    <xf numFmtId="0" fontId="15" fillId="0" borderId="0" xfId="2" applyFont="1" applyBorder="1" applyAlignment="1">
      <alignment horizontal="center"/>
    </xf>
    <xf numFmtId="49" fontId="4" fillId="0" borderId="4" xfId="2" applyNumberFormat="1" applyFont="1" applyBorder="1" applyAlignment="1" applyProtection="1">
      <alignment horizontal="center"/>
      <protection locked="0"/>
    </xf>
    <xf numFmtId="49" fontId="12" fillId="0" borderId="4" xfId="2" applyNumberFormat="1" applyBorder="1" applyAlignment="1" applyProtection="1">
      <alignment horizontal="center"/>
      <protection locked="0"/>
    </xf>
    <xf numFmtId="0" fontId="15" fillId="0" borderId="4" xfId="2" applyFont="1" applyBorder="1"/>
    <xf numFmtId="0" fontId="15" fillId="2" borderId="4" xfId="2" applyFont="1" applyFill="1" applyBorder="1"/>
    <xf numFmtId="169" fontId="15" fillId="0" borderId="4" xfId="2" applyNumberFormat="1" applyFont="1" applyBorder="1" applyAlignment="1">
      <alignment horizontal="center"/>
    </xf>
    <xf numFmtId="0" fontId="15" fillId="0" borderId="4" xfId="2" applyNumberFormat="1" applyFont="1" applyBorder="1" applyAlignment="1">
      <alignment horizontal="center"/>
    </xf>
    <xf numFmtId="0" fontId="15" fillId="3" borderId="4" xfId="2" applyFont="1" applyFill="1" applyBorder="1"/>
    <xf numFmtId="0" fontId="15" fillId="0" borderId="4" xfId="2" applyNumberFormat="1" applyFont="1" applyBorder="1" applyProtection="1">
      <protection locked="0"/>
    </xf>
    <xf numFmtId="0" fontId="15" fillId="0" borderId="4" xfId="2" applyNumberFormat="1" applyFont="1" applyBorder="1" applyAlignment="1" applyProtection="1">
      <alignment horizontal="center"/>
      <protection locked="0"/>
    </xf>
    <xf numFmtId="2" fontId="15" fillId="0" borderId="3" xfId="2" applyNumberFormat="1" applyFont="1" applyBorder="1" applyAlignment="1" applyProtection="1">
      <alignment horizontal="center"/>
      <protection locked="0"/>
    </xf>
    <xf numFmtId="2" fontId="15" fillId="0" borderId="5" xfId="2" applyNumberFormat="1" applyFont="1" applyBorder="1" applyAlignment="1" applyProtection="1">
      <alignment horizontal="center"/>
      <protection locked="0"/>
    </xf>
    <xf numFmtId="0" fontId="17" fillId="3" borderId="4" xfId="2" applyNumberFormat="1" applyFont="1" applyFill="1" applyBorder="1" applyAlignment="1" applyProtection="1">
      <alignment horizontal="center" vertical="top"/>
      <protection locked="0"/>
    </xf>
    <xf numFmtId="0" fontId="17" fillId="3" borderId="4" xfId="2" applyNumberFormat="1" applyFont="1" applyFill="1" applyBorder="1" applyAlignment="1">
      <alignment horizontal="center" vertical="top" wrapText="1"/>
    </xf>
    <xf numFmtId="0" fontId="15" fillId="3" borderId="4" xfId="2" applyNumberFormat="1" applyFont="1" applyFill="1" applyBorder="1"/>
    <xf numFmtId="0" fontId="15" fillId="3" borderId="4" xfId="2" applyNumberFormat="1" applyFont="1" applyFill="1" applyBorder="1" applyAlignment="1">
      <alignment horizontal="center"/>
    </xf>
    <xf numFmtId="0" fontId="15" fillId="3" borderId="3" xfId="2" applyNumberFormat="1" applyFont="1" applyFill="1" applyBorder="1" applyAlignment="1">
      <alignment horizontal="center"/>
    </xf>
    <xf numFmtId="164" fontId="17" fillId="3" borderId="4" xfId="3" applyFont="1" applyFill="1" applyBorder="1" applyAlignment="1"/>
    <xf numFmtId="0" fontId="4" fillId="0" borderId="3" xfId="2" applyFont="1" applyFill="1" applyBorder="1" applyProtection="1">
      <protection locked="0"/>
    </xf>
    <xf numFmtId="0" fontId="12" fillId="0" borderId="0" xfId="2" applyFill="1"/>
    <xf numFmtId="0" fontId="4" fillId="0" borderId="4" xfId="2" applyFont="1" applyFill="1" applyBorder="1" applyProtection="1">
      <protection locked="0"/>
    </xf>
    <xf numFmtId="0" fontId="0" fillId="0" borderId="0" xfId="0" applyFill="1" applyAlignment="1">
      <alignment wrapText="1"/>
    </xf>
    <xf numFmtId="0" fontId="0" fillId="0" borderId="0" xfId="0" quotePrefix="1" applyAlignment="1"/>
    <xf numFmtId="0" fontId="2" fillId="0" borderId="0" xfId="1" applyFont="1" applyFill="1" applyAlignment="1" applyProtection="1">
      <alignment horizontal="center" wrapText="1"/>
    </xf>
    <xf numFmtId="0" fontId="2" fillId="0" borderId="0" xfId="1" applyFont="1" applyFill="1" applyAlignment="1" applyProtection="1">
      <alignment wrapText="1"/>
    </xf>
    <xf numFmtId="0" fontId="8" fillId="0" borderId="0" xfId="1" applyFont="1" applyAlignment="1" applyProtection="1">
      <alignment wrapText="1"/>
    </xf>
    <xf numFmtId="165" fontId="0" fillId="0" borderId="0" xfId="0" applyNumberFormat="1" applyAlignment="1">
      <alignment horizontal="center"/>
    </xf>
    <xf numFmtId="2" fontId="0" fillId="0" borderId="0" xfId="0" applyNumberFormat="1" applyAlignment="1">
      <alignment horizontal="center"/>
    </xf>
    <xf numFmtId="0" fontId="0" fillId="0" borderId="0" xfId="0" applyAlignment="1">
      <alignment horizontal="center"/>
    </xf>
    <xf numFmtId="0" fontId="0" fillId="0" borderId="0" xfId="0" applyAlignment="1">
      <alignment horizontal="center" vertical="center"/>
    </xf>
    <xf numFmtId="0" fontId="11" fillId="15" borderId="24" xfId="0" applyFont="1" applyFill="1" applyBorder="1" applyAlignment="1">
      <alignment horizontal="center" vertical="center" wrapText="1"/>
    </xf>
    <xf numFmtId="0" fontId="11" fillId="16" borderId="24" xfId="0" applyFont="1" applyFill="1" applyBorder="1" applyAlignment="1">
      <alignment horizontal="center" vertical="center" wrapText="1"/>
    </xf>
    <xf numFmtId="0" fontId="11" fillId="15" borderId="27" xfId="0" applyFont="1" applyFill="1" applyBorder="1" applyAlignment="1">
      <alignment horizontal="center" vertical="center" wrapText="1"/>
    </xf>
    <xf numFmtId="0" fontId="11" fillId="16" borderId="27" xfId="0" applyFont="1" applyFill="1" applyBorder="1" applyAlignment="1">
      <alignment horizontal="center" vertical="center" wrapText="1"/>
    </xf>
    <xf numFmtId="0" fontId="21" fillId="0" borderId="0" xfId="0" applyFont="1"/>
    <xf numFmtId="0" fontId="0" fillId="0" borderId="0" xfId="0" applyAlignment="1">
      <alignment horizontal="left"/>
    </xf>
    <xf numFmtId="14" fontId="0" fillId="0" borderId="0" xfId="0" applyNumberFormat="1" applyAlignment="1">
      <alignment horizontal="left"/>
    </xf>
    <xf numFmtId="170" fontId="0" fillId="0" borderId="0" xfId="0" applyNumberFormat="1" applyAlignment="1">
      <alignment horizontal="center"/>
    </xf>
    <xf numFmtId="168" fontId="0" fillId="0" borderId="0" xfId="0" applyNumberFormat="1" applyAlignment="1">
      <alignment wrapText="1"/>
    </xf>
    <xf numFmtId="168" fontId="0" fillId="0" borderId="0" xfId="0" quotePrefix="1" applyNumberFormat="1"/>
    <xf numFmtId="0" fontId="0" fillId="0" borderId="0" xfId="0" applyAlignment="1">
      <alignment horizontal="right"/>
    </xf>
    <xf numFmtId="168" fontId="0" fillId="0" borderId="0" xfId="0" applyNumberFormat="1" applyFill="1"/>
    <xf numFmtId="0" fontId="0" fillId="0" borderId="0" xfId="0" applyNumberFormat="1"/>
    <xf numFmtId="0" fontId="0" fillId="0" borderId="0" xfId="0" applyNumberFormat="1" applyAlignment="1">
      <alignment horizontal="left"/>
    </xf>
    <xf numFmtId="0" fontId="11" fillId="0" borderId="0" xfId="0" applyFont="1" applyAlignment="1">
      <alignment horizontal="center"/>
    </xf>
    <xf numFmtId="171" fontId="0" fillId="0" borderId="0" xfId="0" applyNumberFormat="1" applyFill="1" applyAlignment="1">
      <alignment horizontal="center"/>
    </xf>
    <xf numFmtId="10" fontId="0" fillId="0" borderId="0" xfId="0" applyNumberFormat="1" applyFill="1" applyAlignment="1">
      <alignment horizontal="center"/>
    </xf>
    <xf numFmtId="0" fontId="23" fillId="0" borderId="0" xfId="0" applyFont="1"/>
    <xf numFmtId="0" fontId="2" fillId="0" borderId="0" xfId="1" applyFont="1" applyAlignment="1"/>
    <xf numFmtId="0" fontId="4" fillId="0" borderId="2" xfId="1" applyFont="1" applyBorder="1" applyAlignment="1" applyProtection="1"/>
    <xf numFmtId="0" fontId="4" fillId="0" borderId="0" xfId="1" applyFont="1" applyAlignment="1"/>
    <xf numFmtId="0" fontId="0" fillId="0" borderId="0" xfId="0" applyAlignment="1"/>
    <xf numFmtId="0" fontId="6" fillId="0" borderId="0" xfId="1" applyAlignment="1"/>
    <xf numFmtId="0" fontId="5" fillId="0" borderId="0" xfId="1" applyFont="1" applyAlignment="1"/>
    <xf numFmtId="0" fontId="6" fillId="0" borderId="0" xfId="1" applyAlignment="1" applyProtection="1"/>
    <xf numFmtId="14" fontId="4" fillId="0" borderId="0" xfId="1" applyNumberFormat="1" applyFont="1" applyAlignment="1" applyProtection="1"/>
    <xf numFmtId="0" fontId="12" fillId="0" borderId="0" xfId="2" applyAlignment="1">
      <alignment horizontal="left"/>
    </xf>
    <xf numFmtId="165" fontId="15" fillId="0" borderId="4" xfId="2" applyNumberFormat="1" applyFont="1" applyBorder="1" applyAlignment="1" applyProtection="1">
      <alignment horizontal="center"/>
      <protection locked="0"/>
    </xf>
    <xf numFmtId="167" fontId="15" fillId="0" borderId="4" xfId="2" applyNumberFormat="1" applyFont="1" applyBorder="1" applyAlignment="1" applyProtection="1">
      <alignment horizontal="center"/>
      <protection locked="0"/>
    </xf>
    <xf numFmtId="14" fontId="0" fillId="0" borderId="0" xfId="0" applyNumberFormat="1"/>
    <xf numFmtId="0" fontId="17" fillId="0" borderId="0" xfId="2" applyFont="1" applyFill="1" applyBorder="1"/>
    <xf numFmtId="0" fontId="15" fillId="0" borderId="0" xfId="2" applyFont="1" applyAlignment="1">
      <alignment horizontal="center"/>
    </xf>
    <xf numFmtId="0" fontId="15" fillId="0" borderId="0" xfId="2" applyFont="1" applyAlignment="1">
      <alignment horizontal="left"/>
    </xf>
    <xf numFmtId="0" fontId="26" fillId="0" borderId="0" xfId="0" applyFont="1"/>
    <xf numFmtId="2" fontId="15" fillId="0" borderId="0" xfId="1" applyNumberFormat="1" applyFont="1"/>
    <xf numFmtId="1" fontId="15" fillId="0" borderId="0" xfId="1" applyNumberFormat="1" applyFont="1"/>
    <xf numFmtId="0" fontId="15" fillId="0" borderId="0" xfId="1" applyFont="1"/>
    <xf numFmtId="0" fontId="26" fillId="0" borderId="0" xfId="0" applyFont="1" applyAlignment="1">
      <alignment horizontal="center"/>
    </xf>
    <xf numFmtId="0" fontId="15" fillId="0" borderId="0" xfId="1" applyFont="1" applyFill="1" applyAlignment="1" applyProtection="1">
      <alignment horizontal="left"/>
    </xf>
    <xf numFmtId="0" fontId="15" fillId="0" borderId="4" xfId="1" applyFont="1" applyFill="1" applyBorder="1" applyAlignment="1" applyProtection="1">
      <alignment horizontal="center"/>
      <protection locked="0"/>
    </xf>
    <xf numFmtId="0" fontId="15" fillId="0" borderId="8" xfId="1" applyFont="1" applyFill="1" applyBorder="1" applyAlignment="1" applyProtection="1">
      <alignment horizontal="center"/>
      <protection locked="0"/>
    </xf>
    <xf numFmtId="0" fontId="28" fillId="0" borderId="0" xfId="0" applyFont="1"/>
    <xf numFmtId="14" fontId="28" fillId="0" borderId="4" xfId="0" applyNumberFormat="1" applyFont="1" applyBorder="1" applyAlignment="1">
      <alignment horizontal="center"/>
    </xf>
    <xf numFmtId="0" fontId="28" fillId="0" borderId="4" xfId="0" applyFont="1" applyBorder="1" applyAlignment="1">
      <alignment wrapText="1"/>
    </xf>
    <xf numFmtId="0" fontId="31" fillId="0" borderId="0" xfId="5"/>
    <xf numFmtId="0" fontId="5" fillId="0" borderId="0" xfId="5" applyFont="1" applyAlignment="1">
      <alignment horizontal="left" vertical="center" wrapText="1"/>
    </xf>
    <xf numFmtId="0" fontId="31" fillId="0" borderId="0" xfId="5" applyAlignment="1">
      <alignment horizontal="left" vertical="center"/>
    </xf>
    <xf numFmtId="0" fontId="5" fillId="2" borderId="0" xfId="5" applyFont="1" applyFill="1" applyAlignment="1">
      <alignment horizontal="center" vertical="top"/>
    </xf>
    <xf numFmtId="0" fontId="31" fillId="2" borderId="0" xfId="5" applyFill="1"/>
    <xf numFmtId="0" fontId="5" fillId="2" borderId="0" xfId="5" applyFont="1" applyFill="1" applyAlignment="1">
      <alignment horizontal="center" vertical="top"/>
    </xf>
    <xf numFmtId="0" fontId="5" fillId="19" borderId="0" xfId="5" applyFont="1" applyFill="1" applyAlignment="1">
      <alignment horizontal="left" vertical="top"/>
    </xf>
    <xf numFmtId="0" fontId="33" fillId="2" borderId="0" xfId="5" applyFont="1" applyFill="1"/>
    <xf numFmtId="0" fontId="30" fillId="2" borderId="0" xfId="5" applyFont="1" applyFill="1" applyAlignment="1">
      <alignment horizontal="center" vertical="top"/>
    </xf>
    <xf numFmtId="0" fontId="30" fillId="19" borderId="0" xfId="5" applyFont="1" applyFill="1" applyAlignment="1">
      <alignment horizontal="left" vertical="top"/>
    </xf>
    <xf numFmtId="0" fontId="30" fillId="2" borderId="0" xfId="5" applyFont="1" applyFill="1" applyAlignment="1">
      <alignment horizontal="left" vertical="top"/>
    </xf>
    <xf numFmtId="0" fontId="9" fillId="2" borderId="0" xfId="5" applyFont="1" applyFill="1" applyAlignment="1">
      <alignment horizontal="left" vertical="top" wrapText="1"/>
    </xf>
    <xf numFmtId="0" fontId="33" fillId="0" borderId="0" xfId="5" applyFont="1"/>
    <xf numFmtId="0" fontId="30" fillId="22" borderId="0" xfId="5" applyFont="1" applyFill="1" applyAlignment="1">
      <alignment horizontal="left" vertical="top"/>
    </xf>
    <xf numFmtId="0" fontId="34" fillId="0" borderId="0" xfId="5" applyFont="1"/>
    <xf numFmtId="0" fontId="35" fillId="0" borderId="0" xfId="5" applyFont="1"/>
    <xf numFmtId="0" fontId="31" fillId="0" borderId="0" xfId="5" applyAlignment="1">
      <alignment vertical="top"/>
    </xf>
    <xf numFmtId="14" fontId="0" fillId="0" borderId="4" xfId="0" applyNumberFormat="1" applyBorder="1" applyAlignment="1">
      <alignment horizontal="center"/>
    </xf>
    <xf numFmtId="0" fontId="0" fillId="0" borderId="4" xfId="0" applyBorder="1" applyAlignment="1">
      <alignment wrapText="1"/>
    </xf>
    <xf numFmtId="0" fontId="28" fillId="0" borderId="13" xfId="0" applyFont="1" applyBorder="1" applyAlignment="1">
      <alignment horizontal="center"/>
    </xf>
    <xf numFmtId="0" fontId="4" fillId="0" borderId="21" xfId="0" applyFont="1" applyBorder="1"/>
    <xf numFmtId="0" fontId="4" fillId="0" borderId="21" xfId="0" applyFont="1" applyBorder="1" applyAlignment="1">
      <alignment wrapText="1"/>
    </xf>
    <xf numFmtId="0" fontId="0" fillId="0" borderId="13" xfId="0" applyBorder="1" applyAlignment="1">
      <alignment horizontal="center"/>
    </xf>
    <xf numFmtId="0" fontId="0" fillId="0" borderId="9" xfId="0" applyFont="1" applyBorder="1" applyAlignment="1">
      <alignment horizontal="center"/>
    </xf>
    <xf numFmtId="14" fontId="0" fillId="0" borderId="8" xfId="0" applyNumberFormat="1" applyFont="1" applyBorder="1" applyAlignment="1">
      <alignment horizontal="center"/>
    </xf>
    <xf numFmtId="0" fontId="37" fillId="0" borderId="23" xfId="0" applyFont="1" applyBorder="1"/>
    <xf numFmtId="166" fontId="0" fillId="0" borderId="0" xfId="0" applyNumberFormat="1" applyFill="1" applyAlignment="1">
      <alignment wrapText="1"/>
    </xf>
    <xf numFmtId="0" fontId="4" fillId="0" borderId="36" xfId="1" applyFont="1" applyBorder="1" applyAlignment="1" applyProtection="1">
      <alignment wrapText="1"/>
    </xf>
    <xf numFmtId="0" fontId="4" fillId="0" borderId="36" xfId="1" applyFont="1" applyFill="1" applyBorder="1" applyAlignment="1" applyProtection="1">
      <alignment wrapText="1"/>
    </xf>
    <xf numFmtId="0" fontId="0" fillId="0" borderId="8" xfId="0" applyFont="1" applyBorder="1" applyAlignment="1">
      <alignment wrapText="1"/>
    </xf>
    <xf numFmtId="169" fontId="15" fillId="0" borderId="4" xfId="1" applyNumberFormat="1" applyFont="1" applyFill="1" applyBorder="1" applyAlignment="1" applyProtection="1">
      <alignment horizontal="center"/>
      <protection locked="0"/>
    </xf>
    <xf numFmtId="0" fontId="4" fillId="0" borderId="4" xfId="2" applyFont="1" applyBorder="1" applyAlignment="1" applyProtection="1">
      <alignment horizontal="left"/>
    </xf>
    <xf numFmtId="167" fontId="0" fillId="0" borderId="0" xfId="0" applyNumberFormat="1" applyFill="1"/>
    <xf numFmtId="2" fontId="4" fillId="0" borderId="0" xfId="1" applyNumberFormat="1" applyFont="1" applyFill="1" applyAlignment="1">
      <alignment horizontal="center"/>
    </xf>
    <xf numFmtId="1" fontId="0" fillId="0" borderId="0" xfId="0" applyNumberFormat="1" applyFill="1"/>
    <xf numFmtId="0" fontId="1" fillId="0" borderId="0" xfId="0" applyFont="1" applyFill="1"/>
    <xf numFmtId="166" fontId="0" fillId="0" borderId="0" xfId="0" quotePrefix="1" applyNumberFormat="1" applyFill="1"/>
    <xf numFmtId="169" fontId="0" fillId="0" borderId="0" xfId="0" applyNumberFormat="1" applyFill="1"/>
    <xf numFmtId="2" fontId="1" fillId="0" borderId="0" xfId="0" applyNumberFormat="1" applyFont="1" applyFill="1"/>
    <xf numFmtId="2" fontId="6" fillId="0" borderId="0" xfId="1" applyNumberFormat="1" applyFill="1"/>
    <xf numFmtId="2" fontId="0" fillId="0" borderId="0" xfId="0" applyNumberFormat="1" applyFont="1" applyFill="1"/>
    <xf numFmtId="166" fontId="0" fillId="0" borderId="0" xfId="0" applyNumberFormat="1" applyFont="1" applyFill="1"/>
    <xf numFmtId="0" fontId="0" fillId="0" borderId="0" xfId="0" applyFont="1" applyFill="1"/>
    <xf numFmtId="168" fontId="0" fillId="0" borderId="0" xfId="0" applyNumberFormat="1" applyFont="1" applyFill="1"/>
    <xf numFmtId="11" fontId="0" fillId="0" borderId="0" xfId="0" applyNumberFormat="1" applyFont="1" applyFill="1"/>
    <xf numFmtId="173" fontId="0" fillId="0" borderId="0" xfId="0" applyNumberFormat="1" applyFill="1"/>
    <xf numFmtId="0" fontId="17" fillId="23" borderId="43" xfId="0" applyFont="1" applyFill="1" applyBorder="1" applyAlignment="1">
      <alignment horizontal="center" vertical="center"/>
    </xf>
    <xf numFmtId="0" fontId="17" fillId="23" borderId="42" xfId="0" applyFont="1" applyFill="1" applyBorder="1" applyAlignment="1">
      <alignment horizontal="center" vertical="center"/>
    </xf>
    <xf numFmtId="0" fontId="17" fillId="23" borderId="44" xfId="0" applyFont="1" applyFill="1" applyBorder="1" applyAlignment="1">
      <alignment horizontal="center" vertical="center"/>
    </xf>
    <xf numFmtId="0" fontId="4" fillId="0" borderId="21" xfId="2" applyFont="1" applyBorder="1" applyAlignment="1" applyProtection="1">
      <alignment horizontal="left"/>
    </xf>
    <xf numFmtId="49" fontId="12" fillId="0" borderId="8" xfId="2" applyNumberFormat="1" applyBorder="1" applyAlignment="1" applyProtection="1">
      <alignment horizontal="center"/>
      <protection locked="0"/>
    </xf>
    <xf numFmtId="49" fontId="4" fillId="0" borderId="8" xfId="2" applyNumberFormat="1" applyFont="1" applyBorder="1" applyAlignment="1" applyProtection="1">
      <alignment horizontal="center"/>
      <protection locked="0"/>
    </xf>
    <xf numFmtId="0" fontId="4" fillId="0" borderId="8" xfId="2" applyFont="1" applyBorder="1" applyAlignment="1" applyProtection="1">
      <alignment horizontal="left"/>
    </xf>
    <xf numFmtId="0" fontId="4" fillId="0" borderId="23" xfId="2" applyFont="1" applyBorder="1" applyAlignment="1" applyProtection="1">
      <alignment horizontal="left"/>
    </xf>
    <xf numFmtId="0" fontId="17" fillId="23" borderId="12" xfId="0" applyFont="1" applyFill="1" applyBorder="1" applyAlignment="1">
      <alignment horizontal="left" vertical="center"/>
    </xf>
    <xf numFmtId="0" fontId="17" fillId="23" borderId="11" xfId="0" applyFont="1" applyFill="1" applyBorder="1" applyAlignment="1">
      <alignment horizontal="center" vertical="center"/>
    </xf>
    <xf numFmtId="0" fontId="15" fillId="24" borderId="17" xfId="1" applyFont="1" applyFill="1" applyBorder="1" applyProtection="1"/>
    <xf numFmtId="0" fontId="15" fillId="24" borderId="4" xfId="2" applyFont="1" applyFill="1" applyBorder="1" applyAlignment="1">
      <alignment horizontal="center"/>
    </xf>
    <xf numFmtId="0" fontId="15" fillId="24" borderId="13" xfId="2" applyFont="1" applyFill="1" applyBorder="1"/>
    <xf numFmtId="0" fontId="15" fillId="24" borderId="14" xfId="2" applyFont="1" applyFill="1" applyBorder="1"/>
    <xf numFmtId="2" fontId="15" fillId="24" borderId="3" xfId="2" applyNumberFormat="1" applyFont="1" applyFill="1" applyBorder="1" applyAlignment="1">
      <alignment horizontal="center"/>
    </xf>
    <xf numFmtId="1" fontId="15" fillId="24" borderId="4" xfId="2" applyNumberFormat="1" applyFont="1" applyFill="1" applyBorder="1" applyAlignment="1">
      <alignment horizontal="center"/>
    </xf>
    <xf numFmtId="0" fontId="15" fillId="24" borderId="9" xfId="2" applyFont="1" applyFill="1" applyBorder="1"/>
    <xf numFmtId="2" fontId="15" fillId="24" borderId="8" xfId="2" applyNumberFormat="1" applyFont="1" applyFill="1" applyBorder="1" applyAlignment="1">
      <alignment horizontal="center"/>
    </xf>
    <xf numFmtId="0" fontId="5" fillId="24" borderId="13" xfId="2" applyFont="1" applyFill="1" applyBorder="1" applyAlignment="1" applyProtection="1"/>
    <xf numFmtId="0" fontId="5" fillId="24" borderId="9" xfId="2" applyFont="1" applyFill="1" applyBorder="1" applyAlignment="1" applyProtection="1"/>
    <xf numFmtId="0" fontId="0" fillId="15" borderId="25" xfId="0" applyFill="1" applyBorder="1" applyAlignment="1" applyProtection="1">
      <alignment vertical="center" wrapText="1"/>
      <protection locked="0"/>
    </xf>
    <xf numFmtId="0" fontId="0" fillId="16" borderId="25" xfId="0" applyFill="1"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15" borderId="27" xfId="0" applyFill="1" applyBorder="1" applyAlignment="1" applyProtection="1">
      <alignment vertical="center" wrapText="1"/>
      <protection locked="0"/>
    </xf>
    <xf numFmtId="0" fontId="0" fillId="16" borderId="27" xfId="0" applyFill="1" applyBorder="1" applyAlignment="1" applyProtection="1">
      <alignment vertical="center" wrapText="1"/>
      <protection locked="0"/>
    </xf>
    <xf numFmtId="0" fontId="0" fillId="0" borderId="27" xfId="0" applyBorder="1" applyAlignment="1" applyProtection="1">
      <alignment vertical="center" wrapText="1"/>
      <protection locked="0"/>
    </xf>
    <xf numFmtId="2" fontId="15" fillId="0" borderId="4" xfId="1" applyNumberFormat="1" applyFont="1" applyBorder="1" applyAlignment="1" applyProtection="1">
      <alignment horizontal="center"/>
      <protection locked="0"/>
    </xf>
    <xf numFmtId="165" fontId="15" fillId="0" borderId="4" xfId="1" applyNumberFormat="1" applyFont="1" applyFill="1" applyBorder="1" applyAlignment="1" applyProtection="1">
      <alignment horizontal="center"/>
      <protection locked="0"/>
    </xf>
    <xf numFmtId="2" fontId="15" fillId="0" borderId="8" xfId="1" applyNumberFormat="1" applyFont="1" applyFill="1" applyBorder="1" applyAlignment="1" applyProtection="1">
      <alignment horizontal="center"/>
      <protection locked="0"/>
    </xf>
    <xf numFmtId="1" fontId="15" fillId="0" borderId="0" xfId="1" applyNumberFormat="1" applyFont="1" applyBorder="1" applyAlignment="1" applyProtection="1">
      <alignment horizontal="center"/>
      <protection locked="0"/>
    </xf>
    <xf numFmtId="1" fontId="15" fillId="24" borderId="8" xfId="2" applyNumberFormat="1" applyFont="1" applyFill="1" applyBorder="1" applyAlignment="1">
      <alignment horizontal="center"/>
    </xf>
    <xf numFmtId="1" fontId="15" fillId="24" borderId="8" xfId="1" applyNumberFormat="1" applyFont="1" applyFill="1" applyBorder="1" applyAlignment="1">
      <alignment horizontal="center"/>
    </xf>
    <xf numFmtId="0" fontId="15" fillId="24" borderId="3" xfId="2" applyFont="1" applyFill="1" applyBorder="1" applyAlignment="1">
      <alignment horizontal="center"/>
    </xf>
    <xf numFmtId="2" fontId="15" fillId="24" borderId="4" xfId="2" applyNumberFormat="1" applyFont="1" applyFill="1" applyBorder="1" applyAlignment="1">
      <alignment horizontal="center"/>
    </xf>
    <xf numFmtId="0" fontId="15" fillId="24" borderId="8" xfId="2" applyFont="1" applyFill="1" applyBorder="1" applyAlignment="1">
      <alignment horizontal="center"/>
    </xf>
    <xf numFmtId="0" fontId="4" fillId="24" borderId="17" xfId="1" applyFont="1" applyFill="1" applyBorder="1" applyProtection="1"/>
    <xf numFmtId="165" fontId="15" fillId="24" borderId="4" xfId="2" applyNumberFormat="1" applyFont="1" applyFill="1" applyBorder="1" applyAlignment="1">
      <alignment horizontal="center"/>
    </xf>
    <xf numFmtId="0" fontId="0" fillId="24" borderId="2" xfId="0" applyFill="1" applyBorder="1" applyAlignment="1">
      <alignment vertical="center" wrapText="1"/>
    </xf>
    <xf numFmtId="0" fontId="0" fillId="24" borderId="26" xfId="0" applyFill="1" applyBorder="1" applyAlignment="1">
      <alignment vertical="center" wrapText="1"/>
    </xf>
    <xf numFmtId="0" fontId="0" fillId="0" borderId="0" xfId="0" applyBorder="1"/>
    <xf numFmtId="0" fontId="39" fillId="23" borderId="45" xfId="0" applyFont="1" applyFill="1" applyBorder="1" applyAlignment="1">
      <alignment horizontal="left" vertical="center"/>
    </xf>
    <xf numFmtId="0" fontId="39" fillId="23" borderId="45" xfId="0" applyFont="1" applyFill="1" applyBorder="1" applyAlignment="1">
      <alignment horizontal="center" vertical="center"/>
    </xf>
    <xf numFmtId="0" fontId="4" fillId="0" borderId="0" xfId="1" applyFont="1" applyFill="1" applyAlignment="1" applyProtection="1">
      <alignment wrapText="1"/>
    </xf>
    <xf numFmtId="0" fontId="5" fillId="3" borderId="3" xfId="2" applyFont="1" applyFill="1" applyBorder="1" applyAlignment="1" applyProtection="1">
      <alignment horizontal="center" wrapText="1"/>
    </xf>
    <xf numFmtId="0" fontId="5" fillId="3" borderId="3" xfId="2" applyFont="1" applyFill="1" applyBorder="1" applyAlignment="1" applyProtection="1">
      <alignment vertical="top" wrapText="1"/>
    </xf>
    <xf numFmtId="0" fontId="5" fillId="4" borderId="3" xfId="2" applyFont="1" applyFill="1" applyBorder="1" applyAlignment="1" applyProtection="1">
      <alignment vertical="top" wrapText="1"/>
    </xf>
    <xf numFmtId="0" fontId="5" fillId="5" borderId="3" xfId="2" applyFont="1" applyFill="1" applyBorder="1" applyAlignment="1" applyProtection="1">
      <alignment vertical="top" wrapText="1"/>
    </xf>
    <xf numFmtId="0" fontId="5" fillId="6" borderId="3" xfId="2" applyFont="1" applyFill="1" applyBorder="1" applyAlignment="1" applyProtection="1">
      <alignment vertical="top" wrapText="1"/>
    </xf>
    <xf numFmtId="0" fontId="5" fillId="3" borderId="22" xfId="2" applyFont="1" applyFill="1" applyBorder="1" applyAlignment="1" applyProtection="1">
      <alignment horizontal="center" wrapText="1"/>
    </xf>
    <xf numFmtId="0" fontId="5" fillId="3" borderId="22" xfId="2" applyFont="1" applyFill="1" applyBorder="1" applyAlignment="1" applyProtection="1">
      <alignment vertical="top" wrapText="1"/>
    </xf>
    <xf numFmtId="0" fontId="5" fillId="4" borderId="22" xfId="2" applyFont="1" applyFill="1" applyBorder="1" applyAlignment="1" applyProtection="1">
      <alignment vertical="top" wrapText="1"/>
    </xf>
    <xf numFmtId="0" fontId="5" fillId="5" borderId="22" xfId="2" applyFont="1" applyFill="1" applyBorder="1" applyAlignment="1" applyProtection="1">
      <alignment vertical="top" wrapText="1"/>
    </xf>
    <xf numFmtId="0" fontId="5" fillId="6" borderId="22" xfId="2" applyFont="1" applyFill="1" applyBorder="1" applyAlignment="1" applyProtection="1">
      <alignment vertical="top" wrapText="1"/>
    </xf>
    <xf numFmtId="0" fontId="5" fillId="3" borderId="15" xfId="2" applyFont="1" applyFill="1" applyBorder="1" applyAlignment="1" applyProtection="1">
      <alignment horizontal="center" wrapText="1"/>
    </xf>
    <xf numFmtId="0" fontId="5" fillId="3" borderId="15" xfId="2" applyFont="1" applyFill="1" applyBorder="1" applyAlignment="1" applyProtection="1">
      <alignment vertical="top" wrapText="1"/>
    </xf>
    <xf numFmtId="0" fontId="5" fillId="4" borderId="15" xfId="2" applyFont="1" applyFill="1" applyBorder="1" applyAlignment="1" applyProtection="1">
      <alignment vertical="top" wrapText="1"/>
    </xf>
    <xf numFmtId="0" fontId="5" fillId="5" borderId="15" xfId="2" applyFont="1" applyFill="1" applyBorder="1" applyAlignment="1" applyProtection="1">
      <alignment vertical="top" wrapText="1"/>
    </xf>
    <xf numFmtId="0" fontId="5" fillId="6" borderId="15" xfId="2" applyFont="1" applyFill="1" applyBorder="1" applyAlignment="1" applyProtection="1">
      <alignment vertical="top" wrapText="1"/>
    </xf>
    <xf numFmtId="0" fontId="12" fillId="3" borderId="4" xfId="2" applyFill="1" applyBorder="1" applyProtection="1"/>
    <xf numFmtId="0" fontId="0" fillId="0" borderId="4" xfId="0" applyBorder="1" applyProtection="1"/>
    <xf numFmtId="0" fontId="0" fillId="0" borderId="4" xfId="0" applyFill="1" applyBorder="1" applyProtection="1"/>
    <xf numFmtId="0" fontId="13" fillId="3" borderId="4" xfId="2" applyFont="1" applyFill="1" applyBorder="1" applyProtection="1"/>
    <xf numFmtId="0" fontId="12" fillId="0" borderId="3" xfId="2" applyBorder="1" applyProtection="1"/>
    <xf numFmtId="0" fontId="12" fillId="0" borderId="4" xfId="2" applyFill="1" applyBorder="1" applyProtection="1"/>
    <xf numFmtId="2" fontId="12" fillId="3" borderId="4" xfId="2" applyNumberFormat="1" applyFill="1" applyBorder="1" applyProtection="1"/>
    <xf numFmtId="0" fontId="13" fillId="0" borderId="3" xfId="2" applyFont="1" applyBorder="1" applyProtection="1"/>
    <xf numFmtId="2" fontId="12" fillId="0" borderId="3" xfId="2" applyNumberFormat="1" applyBorder="1" applyProtection="1"/>
    <xf numFmtId="0" fontId="9" fillId="3" borderId="4" xfId="2" applyFont="1" applyFill="1" applyBorder="1" applyProtection="1"/>
    <xf numFmtId="0" fontId="4" fillId="3" borderId="4" xfId="2" applyFont="1" applyFill="1" applyBorder="1" applyProtection="1"/>
    <xf numFmtId="0" fontId="12" fillId="3" borderId="4" xfId="2" applyNumberFormat="1" applyFill="1" applyBorder="1" applyProtection="1"/>
    <xf numFmtId="0" fontId="12" fillId="0" borderId="31" xfId="4" applyFont="1" applyFill="1" applyProtection="1"/>
    <xf numFmtId="0" fontId="9" fillId="0" borderId="4" xfId="2" applyFont="1" applyFill="1" applyBorder="1" applyProtection="1"/>
    <xf numFmtId="0" fontId="12" fillId="0" borderId="4" xfId="4" applyFont="1" applyFill="1" applyBorder="1" applyProtection="1"/>
    <xf numFmtId="0" fontId="12" fillId="0" borderId="3" xfId="2" applyFill="1" applyBorder="1" applyProtection="1"/>
    <xf numFmtId="0" fontId="0" fillId="0" borderId="4" xfId="0" applyBorder="1" applyProtection="1">
      <protection locked="0"/>
    </xf>
    <xf numFmtId="0" fontId="0" fillId="0" borderId="4" xfId="0" applyFill="1" applyBorder="1" applyProtection="1">
      <protection locked="0"/>
    </xf>
    <xf numFmtId="0" fontId="5" fillId="3" borderId="4" xfId="2" applyFont="1" applyFill="1" applyBorder="1" applyAlignment="1" applyProtection="1">
      <alignment horizontal="center" wrapText="1"/>
    </xf>
    <xf numFmtId="0" fontId="11" fillId="7" borderId="0" xfId="0" applyFont="1" applyFill="1" applyProtection="1"/>
    <xf numFmtId="0" fontId="11" fillId="8" borderId="0" xfId="0" applyFont="1" applyFill="1" applyProtection="1"/>
    <xf numFmtId="0" fontId="11" fillId="9" borderId="0" xfId="0" applyFont="1" applyFill="1" applyProtection="1"/>
    <xf numFmtId="2" fontId="11" fillId="9" borderId="0" xfId="0" applyNumberFormat="1" applyFont="1" applyFill="1" applyProtection="1"/>
    <xf numFmtId="0" fontId="0" fillId="0" borderId="0" xfId="0" applyProtection="1"/>
    <xf numFmtId="0" fontId="0" fillId="0" borderId="36" xfId="0" applyBorder="1" applyAlignment="1" applyProtection="1">
      <alignment wrapText="1"/>
    </xf>
    <xf numFmtId="0" fontId="4" fillId="5" borderId="36" xfId="1" applyFont="1" applyFill="1" applyBorder="1" applyAlignment="1" applyProtection="1">
      <alignment wrapText="1"/>
    </xf>
    <xf numFmtId="2" fontId="4" fillId="5" borderId="36" xfId="1" applyNumberFormat="1" applyFont="1" applyFill="1" applyBorder="1" applyAlignment="1" applyProtection="1">
      <alignment wrapText="1"/>
    </xf>
    <xf numFmtId="0" fontId="0" fillId="0" borderId="0" xfId="0" applyAlignment="1" applyProtection="1">
      <alignment wrapText="1"/>
    </xf>
    <xf numFmtId="0" fontId="5" fillId="0" borderId="0" xfId="2" applyFont="1" applyFill="1" applyAlignment="1" applyProtection="1">
      <alignment vertical="top" wrapText="1"/>
    </xf>
    <xf numFmtId="0" fontId="2" fillId="0" borderId="0" xfId="1" applyFont="1" applyAlignment="1" applyProtection="1">
      <alignment wrapText="1"/>
    </xf>
    <xf numFmtId="0" fontId="2" fillId="5" borderId="0" xfId="1" applyFont="1" applyFill="1" applyAlignment="1" applyProtection="1">
      <alignment wrapText="1"/>
    </xf>
    <xf numFmtId="0" fontId="1" fillId="0" borderId="0" xfId="0" applyFont="1" applyAlignment="1" applyProtection="1">
      <alignment wrapText="1"/>
    </xf>
    <xf numFmtId="167" fontId="0" fillId="0" borderId="0" xfId="0" applyNumberFormat="1" applyAlignment="1" applyProtection="1">
      <alignment wrapText="1"/>
    </xf>
    <xf numFmtId="166" fontId="0" fillId="0" borderId="0" xfId="0" applyNumberFormat="1" applyAlignment="1" applyProtection="1">
      <alignment wrapText="1"/>
    </xf>
    <xf numFmtId="2" fontId="1" fillId="0" borderId="0" xfId="0" applyNumberFormat="1" applyFont="1" applyAlignment="1" applyProtection="1">
      <alignment wrapText="1"/>
    </xf>
    <xf numFmtId="0" fontId="0" fillId="5" borderId="0" xfId="0" applyFill="1" applyAlignment="1" applyProtection="1">
      <alignment wrapText="1"/>
    </xf>
    <xf numFmtId="2" fontId="0" fillId="0" borderId="0" xfId="0" applyNumberFormat="1" applyFill="1" applyAlignment="1" applyProtection="1">
      <alignment wrapText="1"/>
    </xf>
    <xf numFmtId="2" fontId="1" fillId="0" borderId="0" xfId="0" applyNumberFormat="1" applyFont="1" applyFill="1" applyAlignment="1" applyProtection="1">
      <alignment wrapText="1"/>
    </xf>
    <xf numFmtId="168" fontId="0" fillId="0" borderId="0" xfId="0" applyNumberFormat="1" applyFill="1" applyProtection="1"/>
    <xf numFmtId="0" fontId="0" fillId="0" borderId="0" xfId="0" applyFill="1" applyAlignment="1" applyProtection="1">
      <alignment wrapText="1"/>
    </xf>
    <xf numFmtId="11" fontId="0" fillId="0" borderId="0" xfId="0" applyNumberFormat="1" applyAlignment="1" applyProtection="1">
      <alignment wrapText="1"/>
    </xf>
    <xf numFmtId="166" fontId="0" fillId="0" borderId="0" xfId="0" applyNumberFormat="1" applyFill="1" applyAlignment="1" applyProtection="1">
      <alignment wrapText="1"/>
    </xf>
    <xf numFmtId="11" fontId="0" fillId="0" borderId="0" xfId="0" applyNumberFormat="1" applyFill="1" applyAlignment="1" applyProtection="1">
      <alignment wrapText="1"/>
    </xf>
    <xf numFmtId="0" fontId="0" fillId="0" borderId="0" xfId="0" applyFill="1" applyProtection="1"/>
    <xf numFmtId="1" fontId="4" fillId="0" borderId="0" xfId="1" applyNumberFormat="1" applyFont="1" applyAlignment="1" applyProtection="1">
      <alignment horizontal="center"/>
    </xf>
    <xf numFmtId="167" fontId="4" fillId="0" borderId="0" xfId="1" applyNumberFormat="1" applyFont="1" applyAlignment="1" applyProtection="1">
      <alignment horizontal="center"/>
    </xf>
    <xf numFmtId="11" fontId="4" fillId="0" borderId="0" xfId="1" applyNumberFormat="1" applyFont="1" applyFill="1" applyAlignment="1" applyProtection="1">
      <alignment horizontal="center"/>
    </xf>
    <xf numFmtId="0" fontId="4" fillId="0" borderId="0" xfId="1" applyFont="1" applyFill="1" applyAlignment="1" applyProtection="1">
      <alignment horizontal="center"/>
    </xf>
    <xf numFmtId="2" fontId="4" fillId="0" borderId="0" xfId="1" applyNumberFormat="1" applyFont="1" applyAlignment="1" applyProtection="1">
      <alignment horizontal="center"/>
    </xf>
    <xf numFmtId="0" fontId="4" fillId="0" borderId="0" xfId="1" applyFont="1" applyAlignment="1" applyProtection="1">
      <alignment horizontal="center"/>
    </xf>
    <xf numFmtId="166" fontId="0" fillId="0" borderId="0" xfId="0" applyNumberFormat="1" applyFill="1" applyProtection="1"/>
    <xf numFmtId="166" fontId="0" fillId="0" borderId="0" xfId="0" applyNumberFormat="1" applyProtection="1"/>
    <xf numFmtId="166" fontId="0" fillId="0" borderId="0" xfId="0" quotePrefix="1" applyNumberFormat="1" applyProtection="1"/>
    <xf numFmtId="169" fontId="0" fillId="0" borderId="0" xfId="0" applyNumberFormat="1" applyProtection="1"/>
    <xf numFmtId="2" fontId="0" fillId="0" borderId="0" xfId="0" applyNumberFormat="1" applyFill="1" applyProtection="1"/>
    <xf numFmtId="2" fontId="0" fillId="0" borderId="0" xfId="0" applyNumberFormat="1" applyProtection="1"/>
    <xf numFmtId="0" fontId="0" fillId="5" borderId="0" xfId="0" applyFill="1" applyProtection="1"/>
    <xf numFmtId="172" fontId="0" fillId="0" borderId="0" xfId="0" quotePrefix="1" applyNumberFormat="1" applyProtection="1"/>
    <xf numFmtId="11" fontId="0" fillId="0" borderId="0" xfId="0" applyNumberFormat="1" applyProtection="1"/>
    <xf numFmtId="167" fontId="0" fillId="0" borderId="0" xfId="0" applyNumberFormat="1" applyProtection="1"/>
    <xf numFmtId="0" fontId="0" fillId="0" borderId="0" xfId="0" quotePrefix="1" applyProtection="1"/>
    <xf numFmtId="166" fontId="0" fillId="5" borderId="0" xfId="0" applyNumberFormat="1" applyFill="1" applyProtection="1"/>
    <xf numFmtId="0" fontId="4" fillId="0" borderId="3" xfId="2" applyFont="1" applyFill="1" applyBorder="1" applyProtection="1"/>
    <xf numFmtId="0" fontId="12" fillId="2" borderId="0" xfId="2" applyFill="1" applyProtection="1"/>
    <xf numFmtId="0" fontId="6" fillId="0" borderId="0" xfId="1" applyProtection="1"/>
    <xf numFmtId="0" fontId="9" fillId="0" borderId="0" xfId="1" applyFont="1" applyProtection="1"/>
    <xf numFmtId="2" fontId="6" fillId="0" borderId="0" xfId="1" applyNumberFormat="1" applyProtection="1"/>
    <xf numFmtId="0" fontId="0" fillId="0" borderId="3" xfId="0" applyBorder="1" applyProtection="1"/>
    <xf numFmtId="0" fontId="0" fillId="0" borderId="3" xfId="0" applyFill="1" applyBorder="1" applyProtection="1"/>
    <xf numFmtId="0" fontId="4" fillId="0" borderId="4" xfId="2" applyFont="1" applyFill="1" applyBorder="1" applyAlignment="1" applyProtection="1">
      <alignment horizontal="left"/>
      <protection locked="0"/>
    </xf>
    <xf numFmtId="0" fontId="30" fillId="0" borderId="4" xfId="2" applyFont="1" applyFill="1" applyBorder="1" applyAlignment="1" applyProtection="1">
      <protection locked="0"/>
    </xf>
    <xf numFmtId="0" fontId="11" fillId="9" borderId="0" xfId="0" applyFont="1" applyFill="1" applyAlignment="1" applyProtection="1">
      <alignment horizontal="center" vertical="center"/>
    </xf>
    <xf numFmtId="0" fontId="11" fillId="6" borderId="0" xfId="0" applyFont="1" applyFill="1" applyAlignment="1" applyProtection="1">
      <alignment horizontal="center" vertical="center" wrapText="1"/>
    </xf>
    <xf numFmtId="0" fontId="11" fillId="11" borderId="0" xfId="0" quotePrefix="1" applyFont="1" applyFill="1" applyAlignment="1" applyProtection="1">
      <alignment horizontal="center" vertical="center" wrapText="1"/>
    </xf>
    <xf numFmtId="0" fontId="11" fillId="14" borderId="0" xfId="0" applyFont="1" applyFill="1" applyAlignment="1" applyProtection="1">
      <alignment horizontal="center" vertical="center" wrapText="1"/>
    </xf>
    <xf numFmtId="0" fontId="11" fillId="14" borderId="0" xfId="0" quotePrefix="1" applyFont="1" applyFill="1" applyAlignment="1" applyProtection="1">
      <alignment horizontal="center" vertical="center" wrapText="1"/>
    </xf>
    <xf numFmtId="0" fontId="11" fillId="0" borderId="0" xfId="0" applyFont="1" applyAlignment="1" applyProtection="1">
      <alignment horizontal="center" vertical="center" wrapText="1"/>
    </xf>
    <xf numFmtId="0" fontId="0" fillId="0" borderId="0" xfId="0" applyAlignment="1" applyProtection="1">
      <alignment horizontal="center" vertical="center" wrapText="1"/>
    </xf>
    <xf numFmtId="170" fontId="0" fillId="0" borderId="0" xfId="0" applyNumberFormat="1" applyAlignment="1" applyProtection="1">
      <alignment horizontal="center"/>
    </xf>
    <xf numFmtId="2" fontId="0" fillId="0" borderId="0" xfId="0" applyNumberFormat="1" applyAlignment="1" applyProtection="1">
      <alignment horizontal="center"/>
    </xf>
    <xf numFmtId="1" fontId="0" fillId="0" borderId="0" xfId="0" applyNumberFormat="1" applyAlignment="1" applyProtection="1">
      <alignment horizontal="center"/>
    </xf>
    <xf numFmtId="165" fontId="0" fillId="0" borderId="0" xfId="0" applyNumberFormat="1" applyAlignment="1" applyProtection="1">
      <alignment horizontal="center"/>
    </xf>
    <xf numFmtId="0" fontId="11" fillId="8" borderId="0" xfId="0" applyFont="1" applyFill="1" applyAlignment="1" applyProtection="1">
      <alignment horizontal="center"/>
    </xf>
    <xf numFmtId="0" fontId="11" fillId="6" borderId="0" xfId="0" applyFont="1" applyFill="1" applyAlignment="1" applyProtection="1">
      <alignment horizontal="center" wrapText="1"/>
    </xf>
    <xf numFmtId="0" fontId="11" fillId="11" borderId="0" xfId="0" quotePrefix="1" applyFont="1" applyFill="1" applyAlignment="1" applyProtection="1">
      <alignment horizontal="center" wrapText="1"/>
    </xf>
    <xf numFmtId="0" fontId="11" fillId="14" borderId="0" xfId="0" applyFont="1" applyFill="1" applyAlignment="1" applyProtection="1">
      <alignment horizontal="center" wrapText="1"/>
    </xf>
    <xf numFmtId="0" fontId="11" fillId="14" borderId="0" xfId="0" quotePrefix="1" applyFont="1" applyFill="1" applyAlignment="1" applyProtection="1">
      <alignment horizontal="center" wrapText="1"/>
    </xf>
    <xf numFmtId="0" fontId="0" fillId="0" borderId="0" xfId="0" applyAlignment="1" applyProtection="1">
      <alignment horizontal="center" wrapText="1"/>
    </xf>
    <xf numFmtId="0" fontId="0" fillId="0" borderId="0" xfId="0" applyAlignment="1" applyProtection="1">
      <alignment horizontal="center"/>
    </xf>
    <xf numFmtId="169" fontId="0" fillId="0" borderId="0" xfId="0" applyNumberFormat="1" applyAlignment="1" applyProtection="1">
      <alignment horizontal="center"/>
    </xf>
    <xf numFmtId="0" fontId="11" fillId="0" borderId="0" xfId="0" applyFont="1" applyAlignment="1" applyProtection="1">
      <alignment horizontal="center" wrapText="1"/>
    </xf>
    <xf numFmtId="0" fontId="11" fillId="10" borderId="0" xfId="0" applyFont="1" applyFill="1" applyAlignment="1" applyProtection="1">
      <alignment horizontal="center" wrapText="1"/>
    </xf>
    <xf numFmtId="0" fontId="11" fillId="12" borderId="0" xfId="0" quotePrefix="1" applyFont="1" applyFill="1" applyAlignment="1" applyProtection="1">
      <alignment horizontal="center" wrapText="1"/>
    </xf>
    <xf numFmtId="0" fontId="11" fillId="13" borderId="0" xfId="0" applyFont="1" applyFill="1" applyAlignment="1" applyProtection="1">
      <alignment horizontal="center" wrapText="1"/>
    </xf>
    <xf numFmtId="11" fontId="0" fillId="0" borderId="0" xfId="0" applyNumberFormat="1" applyAlignment="1" applyProtection="1">
      <alignment horizontal="center"/>
    </xf>
    <xf numFmtId="0" fontId="11" fillId="7" borderId="0" xfId="0" applyFont="1" applyFill="1" applyAlignment="1" applyProtection="1">
      <alignment horizontal="center"/>
    </xf>
    <xf numFmtId="0" fontId="5" fillId="25" borderId="12" xfId="0" applyFont="1" applyFill="1" applyBorder="1" applyAlignment="1">
      <alignment horizontal="center"/>
    </xf>
    <xf numFmtId="0" fontId="5" fillId="25" borderId="11" xfId="0" applyFont="1" applyFill="1" applyBorder="1" applyAlignment="1">
      <alignment horizontal="center"/>
    </xf>
    <xf numFmtId="0" fontId="5" fillId="25" borderId="11" xfId="0" applyFont="1" applyFill="1" applyBorder="1"/>
    <xf numFmtId="0" fontId="5" fillId="25" borderId="10" xfId="0" applyFont="1" applyFill="1" applyBorder="1"/>
    <xf numFmtId="0" fontId="11" fillId="13" borderId="30" xfId="0" applyFont="1" applyFill="1" applyBorder="1" applyProtection="1">
      <protection locked="0"/>
    </xf>
    <xf numFmtId="0" fontId="5" fillId="2" borderId="0" xfId="5" applyFont="1" applyFill="1" applyAlignment="1">
      <alignment horizontal="center" vertical="top"/>
    </xf>
    <xf numFmtId="0" fontId="4" fillId="5" borderId="0" xfId="5" applyFont="1" applyFill="1" applyAlignment="1">
      <alignment horizontal="left" vertical="top"/>
    </xf>
    <xf numFmtId="0" fontId="4" fillId="0" borderId="0" xfId="5" applyFont="1" applyAlignment="1">
      <alignment horizontal="left" vertical="top" wrapText="1"/>
    </xf>
    <xf numFmtId="0" fontId="30" fillId="2" borderId="0" xfId="5" applyFont="1" applyFill="1" applyAlignment="1">
      <alignment horizontal="center" vertical="top"/>
    </xf>
    <xf numFmtId="0" fontId="5" fillId="9" borderId="0" xfId="5" applyFont="1" applyFill="1" applyAlignment="1">
      <alignment horizontal="left" vertical="top"/>
    </xf>
    <xf numFmtId="0" fontId="5" fillId="5" borderId="0" xfId="5" applyFont="1" applyFill="1" applyAlignment="1">
      <alignment horizontal="left" vertical="top"/>
    </xf>
    <xf numFmtId="0" fontId="5" fillId="18" borderId="0" xfId="5" applyFont="1" applyFill="1" applyAlignment="1">
      <alignment horizontal="left" vertical="top" wrapText="1"/>
    </xf>
    <xf numFmtId="0" fontId="5" fillId="21" borderId="0" xfId="5" applyFont="1" applyFill="1" applyAlignment="1">
      <alignment horizontal="left" vertical="top" wrapText="1"/>
    </xf>
    <xf numFmtId="0" fontId="5" fillId="20" borderId="0" xfId="5" applyFont="1" applyFill="1" applyAlignment="1">
      <alignment horizontal="left" vertical="top"/>
    </xf>
    <xf numFmtId="0" fontId="5" fillId="18" borderId="0" xfId="5" applyFont="1" applyFill="1" applyAlignment="1">
      <alignment horizontal="left" vertical="top"/>
    </xf>
    <xf numFmtId="0" fontId="5" fillId="22" borderId="0" xfId="5" applyFont="1" applyFill="1" applyAlignment="1">
      <alignment horizontal="left" vertical="top"/>
    </xf>
    <xf numFmtId="0" fontId="5" fillId="13" borderId="0" xfId="5" applyFont="1" applyFill="1" applyAlignment="1">
      <alignment horizontal="left" vertical="top"/>
    </xf>
    <xf numFmtId="0" fontId="5" fillId="0" borderId="0" xfId="5" applyFont="1" applyAlignment="1">
      <alignment horizontal="left" vertical="center" wrapText="1"/>
    </xf>
    <xf numFmtId="0" fontId="9" fillId="0" borderId="0" xfId="5" applyFont="1" applyAlignment="1">
      <alignment horizontal="left" vertical="top" wrapText="1"/>
    </xf>
    <xf numFmtId="0" fontId="37" fillId="23" borderId="33" xfId="0" applyFont="1" applyFill="1" applyBorder="1" applyAlignment="1">
      <alignment horizontal="left" vertical="center" wrapText="1"/>
    </xf>
    <xf numFmtId="0" fontId="37" fillId="23" borderId="34" xfId="0" applyFont="1" applyFill="1" applyBorder="1" applyAlignment="1">
      <alignment horizontal="left" vertical="center" wrapText="1"/>
    </xf>
    <xf numFmtId="0" fontId="37" fillId="23" borderId="35" xfId="0" applyFont="1" applyFill="1" applyBorder="1" applyAlignment="1">
      <alignment horizontal="left" vertical="center" wrapText="1"/>
    </xf>
    <xf numFmtId="0" fontId="37" fillId="23" borderId="17" xfId="0" applyFont="1" applyFill="1" applyBorder="1" applyAlignment="1">
      <alignment horizontal="left" vertical="center" wrapText="1"/>
    </xf>
    <xf numFmtId="0" fontId="37" fillId="23" borderId="0" xfId="0" applyFont="1" applyFill="1" applyBorder="1" applyAlignment="1">
      <alignment horizontal="left" vertical="center" wrapText="1"/>
    </xf>
    <xf numFmtId="0" fontId="37" fillId="23" borderId="32" xfId="0" applyFont="1" applyFill="1" applyBorder="1" applyAlignment="1">
      <alignment horizontal="left" vertical="center" wrapText="1"/>
    </xf>
    <xf numFmtId="0" fontId="37" fillId="23" borderId="48" xfId="0" applyFont="1" applyFill="1" applyBorder="1" applyAlignment="1">
      <alignment horizontal="left" vertical="center" wrapText="1"/>
    </xf>
    <xf numFmtId="0" fontId="37" fillId="23" borderId="36" xfId="0" applyFont="1" applyFill="1" applyBorder="1" applyAlignment="1">
      <alignment horizontal="left" vertical="center" wrapText="1"/>
    </xf>
    <xf numFmtId="0" fontId="37" fillId="23" borderId="47" xfId="0" applyFont="1" applyFill="1" applyBorder="1" applyAlignment="1">
      <alignment horizontal="left" vertical="center" wrapText="1"/>
    </xf>
    <xf numFmtId="0" fontId="27" fillId="0" borderId="7" xfId="0" applyFont="1" applyBorder="1" applyAlignment="1" applyProtection="1">
      <alignment horizontal="left"/>
      <protection locked="0"/>
    </xf>
    <xf numFmtId="0" fontId="27" fillId="0" borderId="6" xfId="0" applyFont="1" applyBorder="1" applyAlignment="1" applyProtection="1">
      <alignment horizontal="left"/>
      <protection locked="0"/>
    </xf>
    <xf numFmtId="0" fontId="27" fillId="0" borderId="16" xfId="0" applyFont="1" applyBorder="1" applyAlignment="1" applyProtection="1">
      <alignment horizontal="left"/>
      <protection locked="0"/>
    </xf>
    <xf numFmtId="0" fontId="5" fillId="0" borderId="0" xfId="1" applyFont="1" applyAlignment="1"/>
    <xf numFmtId="0" fontId="4" fillId="0" borderId="15" xfId="2" applyFont="1" applyBorder="1" applyAlignment="1" applyProtection="1">
      <alignment horizontal="left"/>
    </xf>
    <xf numFmtId="0" fontId="4" fillId="0" borderId="46" xfId="2" applyFont="1" applyBorder="1" applyAlignment="1" applyProtection="1">
      <alignment horizontal="left"/>
    </xf>
    <xf numFmtId="0" fontId="27" fillId="0" borderId="19" xfId="0" applyFont="1" applyBorder="1" applyAlignment="1" applyProtection="1">
      <alignment horizontal="left"/>
      <protection locked="0"/>
    </xf>
    <xf numFmtId="0" fontId="27" fillId="0" borderId="20" xfId="0" applyFont="1" applyBorder="1" applyAlignment="1" applyProtection="1">
      <alignment horizontal="left"/>
      <protection locked="0"/>
    </xf>
    <xf numFmtId="0" fontId="27" fillId="0" borderId="18" xfId="0" applyFont="1" applyBorder="1" applyAlignment="1" applyProtection="1">
      <alignment horizontal="left"/>
      <protection locked="0"/>
    </xf>
    <xf numFmtId="0" fontId="27" fillId="24" borderId="8" xfId="0" applyFont="1" applyFill="1" applyBorder="1" applyAlignment="1">
      <alignment horizontal="left"/>
    </xf>
    <xf numFmtId="0" fontId="27" fillId="24" borderId="23" xfId="0" applyFont="1" applyFill="1" applyBorder="1" applyAlignment="1">
      <alignment horizontal="left"/>
    </xf>
    <xf numFmtId="0" fontId="27" fillId="0" borderId="7" xfId="0" applyFont="1" applyBorder="1" applyAlignment="1" applyProtection="1">
      <alignment horizontal="left" wrapText="1"/>
      <protection locked="0"/>
    </xf>
    <xf numFmtId="0" fontId="27" fillId="0" borderId="6" xfId="0" applyFont="1" applyBorder="1" applyAlignment="1" applyProtection="1">
      <alignment horizontal="left" wrapText="1"/>
      <protection locked="0"/>
    </xf>
    <xf numFmtId="0" fontId="27" fillId="0" borderId="16" xfId="0" applyFont="1" applyBorder="1" applyAlignment="1" applyProtection="1">
      <alignment horizontal="left" wrapText="1"/>
      <protection locked="0"/>
    </xf>
    <xf numFmtId="0" fontId="27" fillId="0" borderId="4" xfId="0" applyFont="1" applyBorder="1" applyAlignment="1" applyProtection="1">
      <alignment horizontal="left" wrapText="1"/>
      <protection locked="0"/>
    </xf>
    <xf numFmtId="0" fontId="27" fillId="0" borderId="21" xfId="0" applyFont="1" applyBorder="1" applyAlignment="1" applyProtection="1">
      <alignment horizontal="left" wrapText="1"/>
      <protection locked="0"/>
    </xf>
    <xf numFmtId="0" fontId="17" fillId="3" borderId="4" xfId="2" applyNumberFormat="1" applyFont="1" applyFill="1" applyBorder="1" applyAlignment="1">
      <alignment horizontal="center" vertical="center"/>
    </xf>
    <xf numFmtId="0" fontId="17" fillId="3" borderId="3" xfId="2" applyNumberFormat="1" applyFont="1" applyFill="1" applyBorder="1" applyAlignment="1">
      <alignment horizontal="center" vertical="center" wrapText="1"/>
    </xf>
    <xf numFmtId="0" fontId="17" fillId="3" borderId="15" xfId="2" applyNumberFormat="1" applyFont="1" applyFill="1" applyBorder="1" applyAlignment="1">
      <alignment horizontal="center" vertical="center" wrapText="1"/>
    </xf>
    <xf numFmtId="0" fontId="5" fillId="3" borderId="37" xfId="2" applyNumberFormat="1" applyFont="1" applyFill="1" applyBorder="1" applyAlignment="1">
      <alignment horizontal="center" vertical="center"/>
    </xf>
    <xf numFmtId="0" fontId="17" fillId="3" borderId="38" xfId="2" applyNumberFormat="1" applyFont="1" applyFill="1" applyBorder="1" applyAlignment="1">
      <alignment horizontal="center" vertical="center"/>
    </xf>
    <xf numFmtId="0" fontId="17" fillId="3" borderId="39" xfId="2" applyNumberFormat="1" applyFont="1" applyFill="1" applyBorder="1" applyAlignment="1">
      <alignment horizontal="center" vertical="center"/>
    </xf>
    <xf numFmtId="0" fontId="17" fillId="3" borderId="40" xfId="2" applyNumberFormat="1" applyFont="1" applyFill="1" applyBorder="1" applyAlignment="1">
      <alignment horizontal="center" vertical="center"/>
    </xf>
    <xf numFmtId="0" fontId="17" fillId="3" borderId="36" xfId="2" applyNumberFormat="1" applyFont="1" applyFill="1" applyBorder="1" applyAlignment="1">
      <alignment horizontal="center" vertical="center"/>
    </xf>
    <xf numFmtId="0" fontId="17" fillId="3" borderId="41" xfId="2" applyNumberFormat="1" applyFont="1" applyFill="1" applyBorder="1" applyAlignment="1">
      <alignment horizontal="center" vertical="center"/>
    </xf>
    <xf numFmtId="0" fontId="17" fillId="3" borderId="4" xfId="2" applyFont="1" applyFill="1" applyBorder="1" applyAlignment="1">
      <alignment horizontal="left" vertical="center" wrapText="1"/>
    </xf>
    <xf numFmtId="0" fontId="11" fillId="0" borderId="28" xfId="0" applyFont="1" applyBorder="1" applyAlignment="1">
      <alignment horizontal="left"/>
    </xf>
    <xf numFmtId="0" fontId="11" fillId="0" borderId="29" xfId="0" applyFont="1" applyBorder="1" applyAlignment="1">
      <alignment horizontal="left"/>
    </xf>
  </cellXfs>
  <cellStyles count="6">
    <cellStyle name="Merknad" xfId="4" builtinId="10"/>
    <cellStyle name="Normal" xfId="0" builtinId="0"/>
    <cellStyle name="Normal 2" xfId="1" xr:uid="{00000000-0005-0000-0000-000002000000}"/>
    <cellStyle name="Normal 3" xfId="2" xr:uid="{00000000-0005-0000-0000-000003000000}"/>
    <cellStyle name="Normal 4" xfId="5" xr:uid="{00000000-0005-0000-0000-000004000000}"/>
    <cellStyle name="Tusenskille_BeregningsverktøySFT99-01Vers1.0" xfId="3" xr:uid="{00000000-0005-0000-0000-000005000000}"/>
  </cellStyles>
  <dxfs count="82">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theme="7" tint="0.79998168889431442"/>
        </patternFill>
      </fill>
    </dxf>
    <dxf>
      <fill>
        <patternFill>
          <bgColor theme="7" tint="0.79998168889431442"/>
        </patternFill>
      </fill>
    </dxf>
    <dxf>
      <fill>
        <patternFill>
          <bgColor indexed="43"/>
        </patternFill>
      </fill>
    </dxf>
    <dxf>
      <fill>
        <patternFill>
          <bgColor indexed="43"/>
        </patternFill>
      </fill>
    </dxf>
    <dxf>
      <fill>
        <patternFill>
          <bgColor rgb="FFFFC000"/>
        </patternFill>
      </fill>
    </dxf>
    <dxf>
      <fill>
        <patternFill>
          <bgColor rgb="FFFFC000"/>
        </patternFill>
      </fill>
    </dxf>
    <dxf>
      <fill>
        <patternFill>
          <bgColor rgb="FFFFC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indexed="43"/>
        </patternFill>
      </fill>
    </dxf>
    <dxf>
      <font>
        <color theme="0"/>
      </font>
    </dxf>
    <dxf>
      <font>
        <color theme="0"/>
      </font>
    </dxf>
    <dxf>
      <font>
        <color theme="0"/>
      </font>
    </dxf>
    <dxf>
      <font>
        <color theme="0"/>
      </font>
    </dxf>
    <dxf>
      <font>
        <color theme="0"/>
      </font>
    </dxf>
    <dxf>
      <fill>
        <patternFill>
          <bgColor indexed="43"/>
        </patternFill>
      </fill>
    </dxf>
    <dxf>
      <font>
        <color theme="0"/>
      </font>
    </dxf>
    <dxf>
      <font>
        <color theme="0"/>
      </font>
    </dxf>
    <dxf>
      <fill>
        <patternFill>
          <bgColor indexed="43"/>
        </patternFill>
      </fill>
    </dxf>
    <dxf>
      <font>
        <color theme="0"/>
      </font>
    </dxf>
    <dxf>
      <font>
        <color theme="0"/>
      </font>
    </dxf>
    <dxf>
      <font>
        <color theme="0"/>
      </font>
    </dxf>
    <dxf>
      <font>
        <color theme="0"/>
      </font>
    </dxf>
    <dxf>
      <font>
        <color theme="0"/>
      </font>
    </dxf>
    <dxf>
      <font>
        <color theme="0"/>
      </font>
    </dxf>
    <dxf>
      <fill>
        <patternFill>
          <bgColor indexed="43"/>
        </patternFill>
      </fill>
    </dxf>
    <dxf>
      <font>
        <color theme="0"/>
      </font>
    </dxf>
    <dxf>
      <fill>
        <patternFill>
          <bgColor indexed="43"/>
        </patternFill>
      </fill>
    </dxf>
    <dxf>
      <fill>
        <patternFill>
          <bgColor indexed="43"/>
        </patternFill>
      </fill>
    </dxf>
    <dxf>
      <font>
        <condense val="0"/>
        <extend val="0"/>
        <color indexed="44"/>
      </font>
      <fill>
        <patternFill>
          <bgColor indexed="44"/>
        </patternFill>
      </fill>
    </dxf>
    <dxf>
      <fill>
        <patternFill>
          <bgColor indexed="43"/>
        </patternFill>
      </fill>
    </dxf>
    <dxf>
      <font>
        <condense val="0"/>
        <extend val="0"/>
        <color indexed="44"/>
      </font>
      <fill>
        <patternFill>
          <bgColor indexed="44"/>
        </patternFill>
      </fill>
    </dxf>
    <dxf>
      <fill>
        <patternFill>
          <bgColor indexed="43"/>
        </patternFill>
      </fill>
    </dxf>
    <dxf>
      <font>
        <condense val="0"/>
        <extend val="0"/>
        <color indexed="44"/>
      </font>
      <fill>
        <patternFill>
          <bgColor indexed="44"/>
        </patternFill>
      </fill>
    </dxf>
    <dxf>
      <fill>
        <patternFill>
          <bgColor indexed="43"/>
        </patternFill>
      </fill>
    </dxf>
    <dxf>
      <font>
        <condense val="0"/>
        <extend val="0"/>
        <color indexed="44"/>
      </font>
      <fill>
        <patternFill>
          <bgColor indexed="44"/>
        </patternFill>
      </fill>
    </dxf>
    <dxf>
      <fill>
        <patternFill>
          <bgColor indexed="43"/>
        </patternFill>
      </fill>
    </dxf>
    <dxf>
      <font>
        <condense val="0"/>
        <extend val="0"/>
        <color indexed="44"/>
      </font>
      <fill>
        <patternFill>
          <bgColor indexed="44"/>
        </patternFill>
      </fill>
    </dxf>
    <dxf>
      <fill>
        <patternFill>
          <bgColor indexed="43"/>
        </patternFill>
      </fill>
    </dxf>
    <dxf>
      <font>
        <condense val="0"/>
        <extend val="0"/>
        <color indexed="44"/>
      </font>
      <fill>
        <patternFill>
          <bgColor indexed="44"/>
        </patternFill>
      </fill>
    </dxf>
    <dxf>
      <fill>
        <patternFill>
          <bgColor indexed="43"/>
        </patternFill>
      </fill>
    </dxf>
    <dxf>
      <font>
        <condense val="0"/>
        <extend val="0"/>
        <color indexed="44"/>
      </font>
      <fill>
        <patternFill>
          <bgColor indexed="44"/>
        </patternFill>
      </fill>
    </dxf>
    <dxf>
      <fill>
        <patternFill>
          <bgColor indexed="43"/>
        </patternFill>
      </fill>
    </dxf>
    <dxf>
      <font>
        <condense val="0"/>
        <extend val="0"/>
        <color indexed="44"/>
      </font>
      <fill>
        <patternFill>
          <bgColor indexed="44"/>
        </patternFill>
      </fill>
    </dxf>
    <dxf>
      <fill>
        <patternFill>
          <bgColor indexed="43"/>
        </patternFill>
      </fill>
    </dxf>
    <dxf>
      <font>
        <condense val="0"/>
        <extend val="0"/>
        <color indexed="44"/>
      </font>
      <fill>
        <patternFill>
          <bgColor indexed="44"/>
        </patternFill>
      </fill>
    </dxf>
    <dxf>
      <fill>
        <patternFill>
          <bgColor indexed="43"/>
        </patternFill>
      </fill>
    </dxf>
    <dxf>
      <font>
        <condense val="0"/>
        <extend val="0"/>
        <color indexed="44"/>
      </font>
      <fill>
        <patternFill>
          <bgColor indexed="44"/>
        </patternFill>
      </fill>
    </dxf>
    <dxf>
      <fill>
        <patternFill>
          <bgColor indexed="43"/>
        </patternFill>
      </fill>
    </dxf>
    <dxf>
      <font>
        <condense val="0"/>
        <extend val="0"/>
        <color indexed="44"/>
      </font>
      <fill>
        <patternFill>
          <bgColor indexed="44"/>
        </patternFill>
      </fill>
    </dxf>
    <dxf>
      <fill>
        <patternFill>
          <bgColor indexed="43"/>
        </patternFill>
      </fill>
    </dxf>
    <dxf>
      <font>
        <condense val="0"/>
        <extend val="0"/>
        <color indexed="44"/>
      </font>
      <fill>
        <patternFill>
          <bgColor indexed="44"/>
        </patternFill>
      </fill>
    </dxf>
    <dxf>
      <fill>
        <patternFill>
          <bgColor indexed="43"/>
        </patternFill>
      </fill>
    </dxf>
    <dxf>
      <font>
        <condense val="0"/>
        <extend val="0"/>
        <color indexed="44"/>
      </font>
      <fill>
        <patternFill>
          <bgColor indexed="44"/>
        </patternFill>
      </fill>
    </dxf>
    <dxf>
      <fill>
        <patternFill>
          <bgColor indexed="43"/>
        </patternFill>
      </fill>
    </dxf>
    <dxf>
      <font>
        <condense val="0"/>
        <extend val="0"/>
        <color indexed="44"/>
      </font>
      <fill>
        <patternFill>
          <bgColor indexed="44"/>
        </patternFill>
      </fill>
    </dxf>
    <dxf>
      <fill>
        <patternFill>
          <bgColor indexed="43"/>
        </patternFill>
      </fill>
    </dxf>
    <dxf>
      <font>
        <condense val="0"/>
        <extend val="0"/>
        <color indexed="44"/>
      </font>
      <fill>
        <patternFill>
          <bgColor indexed="44"/>
        </patternFill>
      </fill>
    </dxf>
    <dxf>
      <fill>
        <patternFill>
          <bgColor theme="7" tint="0.79998168889431442"/>
        </patternFill>
      </fill>
    </dxf>
    <dxf>
      <fill>
        <patternFill>
          <bgColor theme="7" tint="0.79998168889431442"/>
        </patternFill>
      </fill>
    </dxf>
    <dxf>
      <font>
        <condense val="0"/>
        <extend val="0"/>
        <color auto="1"/>
      </font>
      <fill>
        <patternFill>
          <bgColor indexed="44"/>
        </patternFill>
      </fill>
    </dxf>
    <dxf>
      <font>
        <condense val="0"/>
        <extend val="0"/>
        <color auto="1"/>
      </font>
      <fill>
        <patternFill>
          <bgColor indexed="44"/>
        </patternFill>
      </fill>
    </dxf>
    <dxf>
      <font>
        <condense val="0"/>
        <extend val="0"/>
        <color auto="1"/>
      </font>
      <fill>
        <patternFill>
          <bgColor indexed="44"/>
        </patternFill>
      </fill>
    </dxf>
    <dxf>
      <font>
        <condense val="0"/>
        <extend val="0"/>
        <color auto="1"/>
      </font>
      <fill>
        <patternFill>
          <bgColor indexed="44"/>
        </patternFill>
      </fill>
    </dxf>
    <dxf>
      <font>
        <condense val="0"/>
        <extend val="0"/>
        <color auto="1"/>
      </font>
      <fill>
        <patternFill>
          <bgColor indexed="44"/>
        </patternFill>
      </fill>
    </dxf>
    <dxf>
      <font>
        <condense val="0"/>
        <extend val="0"/>
        <color auto="1"/>
      </font>
      <fill>
        <patternFill>
          <bgColor indexed="44"/>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C5EAF1"/>
      <color rgb="FFFFFF99"/>
      <color rgb="FFCCFFCC"/>
      <color rgb="FF99FF99"/>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'Figur-output'!$C$9</c:f>
          <c:strCache>
            <c:ptCount val="1"/>
            <c:pt idx="0">
              <c:v>Jord Arsen</c:v>
            </c:pt>
          </c:strCache>
        </c:strRef>
      </c:tx>
      <c:layout>
        <c:manualLayout>
          <c:xMode val="edge"/>
          <c:yMode val="edge"/>
          <c:x val="0.31422220370601817"/>
          <c:y val="1.0498687664041995E-2"/>
        </c:manualLayout>
      </c:layout>
      <c:overlay val="0"/>
      <c:spPr>
        <a:solidFill>
          <a:schemeClr val="accent2">
            <a:lumMod val="40000"/>
            <a:lumOff val="60000"/>
          </a:schemeClr>
        </a:solid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nb-NO"/>
        </a:p>
      </c:txPr>
    </c:title>
    <c:autoTitleDeleted val="0"/>
    <c:plotArea>
      <c:layout>
        <c:manualLayout>
          <c:layoutTarget val="inner"/>
          <c:xMode val="edge"/>
          <c:yMode val="edge"/>
          <c:x val="0.14150498178019011"/>
          <c:y val="9.2802887827997879E-2"/>
          <c:w val="0.55295109009206678"/>
          <c:h val="0.75867209512196798"/>
        </c:manualLayout>
      </c:layout>
      <c:scatterChart>
        <c:scatterStyle val="smoothMarker"/>
        <c:varyColors val="0"/>
        <c:ser>
          <c:idx val="0"/>
          <c:order val="0"/>
          <c:tx>
            <c:v>umettet sone kons (mg/kg)</c:v>
          </c:tx>
          <c:spPr>
            <a:ln w="19050" cap="rnd">
              <a:solidFill>
                <a:schemeClr val="accent2"/>
              </a:solidFill>
              <a:round/>
            </a:ln>
            <a:effectLst/>
          </c:spPr>
          <c:marker>
            <c:symbol val="none"/>
          </c:marker>
          <c:xVal>
            <c:numRef>
              <c:f>'Figur-Beregninger (hide)'!$G$19:$G$121</c:f>
              <c:numCache>
                <c:formatCode>General</c:formatCode>
                <c:ptCount val="10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pt idx="73">
                  <c:v>365</c:v>
                </c:pt>
                <c:pt idx="74">
                  <c:v>370</c:v>
                </c:pt>
                <c:pt idx="75">
                  <c:v>375</c:v>
                </c:pt>
                <c:pt idx="76">
                  <c:v>380</c:v>
                </c:pt>
                <c:pt idx="77">
                  <c:v>385</c:v>
                </c:pt>
                <c:pt idx="78">
                  <c:v>390</c:v>
                </c:pt>
                <c:pt idx="79">
                  <c:v>395</c:v>
                </c:pt>
                <c:pt idx="80">
                  <c:v>400</c:v>
                </c:pt>
                <c:pt idx="81">
                  <c:v>405</c:v>
                </c:pt>
                <c:pt idx="82">
                  <c:v>410</c:v>
                </c:pt>
                <c:pt idx="83">
                  <c:v>415</c:v>
                </c:pt>
                <c:pt idx="84">
                  <c:v>420</c:v>
                </c:pt>
                <c:pt idx="85">
                  <c:v>425</c:v>
                </c:pt>
                <c:pt idx="86">
                  <c:v>430</c:v>
                </c:pt>
                <c:pt idx="87">
                  <c:v>435</c:v>
                </c:pt>
                <c:pt idx="88">
                  <c:v>440</c:v>
                </c:pt>
                <c:pt idx="89">
                  <c:v>445</c:v>
                </c:pt>
                <c:pt idx="90">
                  <c:v>450</c:v>
                </c:pt>
                <c:pt idx="91">
                  <c:v>455</c:v>
                </c:pt>
                <c:pt idx="92">
                  <c:v>460</c:v>
                </c:pt>
                <c:pt idx="93">
                  <c:v>465</c:v>
                </c:pt>
                <c:pt idx="94">
                  <c:v>470</c:v>
                </c:pt>
                <c:pt idx="95">
                  <c:v>475</c:v>
                </c:pt>
                <c:pt idx="96">
                  <c:v>480</c:v>
                </c:pt>
                <c:pt idx="97">
                  <c:v>485</c:v>
                </c:pt>
                <c:pt idx="98">
                  <c:v>490</c:v>
                </c:pt>
                <c:pt idx="99">
                  <c:v>495</c:v>
                </c:pt>
                <c:pt idx="100">
                  <c:v>500</c:v>
                </c:pt>
                <c:pt idx="101">
                  <c:v>505</c:v>
                </c:pt>
                <c:pt idx="102">
                  <c:v>510</c:v>
                </c:pt>
              </c:numCache>
            </c:numRef>
          </c:xVal>
          <c:yVal>
            <c:numRef>
              <c:f>'Figur-Beregninger (hide)'!$L$19:$L$121</c:f>
              <c:numCache>
                <c:formatCode>General</c:formatCode>
                <c:ptCount val="1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numCache>
            </c:numRef>
          </c:yVal>
          <c:smooth val="1"/>
          <c:extLst>
            <c:ext xmlns:c16="http://schemas.microsoft.com/office/drawing/2014/chart" uri="{C3380CC4-5D6E-409C-BE32-E72D297353CC}">
              <c16:uniqueId val="{00000000-142E-4011-B1A1-8D020EC937AA}"/>
            </c:ext>
          </c:extLst>
        </c:ser>
        <c:ser>
          <c:idx val="1"/>
          <c:order val="1"/>
          <c:tx>
            <c:v>mettet sone kons (mg/kg)</c:v>
          </c:tx>
          <c:spPr>
            <a:ln w="19050" cap="rnd">
              <a:solidFill>
                <a:schemeClr val="accent4">
                  <a:lumMod val="60000"/>
                  <a:lumOff val="40000"/>
                </a:schemeClr>
              </a:solidFill>
              <a:round/>
            </a:ln>
            <a:effectLst/>
          </c:spPr>
          <c:marker>
            <c:symbol val="none"/>
          </c:marker>
          <c:xVal>
            <c:numRef>
              <c:f>'Figur-Beregninger (hide)'!$G$19:$G$121</c:f>
              <c:numCache>
                <c:formatCode>General</c:formatCode>
                <c:ptCount val="10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pt idx="73">
                  <c:v>365</c:v>
                </c:pt>
                <c:pt idx="74">
                  <c:v>370</c:v>
                </c:pt>
                <c:pt idx="75">
                  <c:v>375</c:v>
                </c:pt>
                <c:pt idx="76">
                  <c:v>380</c:v>
                </c:pt>
                <c:pt idx="77">
                  <c:v>385</c:v>
                </c:pt>
                <c:pt idx="78">
                  <c:v>390</c:v>
                </c:pt>
                <c:pt idx="79">
                  <c:v>395</c:v>
                </c:pt>
                <c:pt idx="80">
                  <c:v>400</c:v>
                </c:pt>
                <c:pt idx="81">
                  <c:v>405</c:v>
                </c:pt>
                <c:pt idx="82">
                  <c:v>410</c:v>
                </c:pt>
                <c:pt idx="83">
                  <c:v>415</c:v>
                </c:pt>
                <c:pt idx="84">
                  <c:v>420</c:v>
                </c:pt>
                <c:pt idx="85">
                  <c:v>425</c:v>
                </c:pt>
                <c:pt idx="86">
                  <c:v>430</c:v>
                </c:pt>
                <c:pt idx="87">
                  <c:v>435</c:v>
                </c:pt>
                <c:pt idx="88">
                  <c:v>440</c:v>
                </c:pt>
                <c:pt idx="89">
                  <c:v>445</c:v>
                </c:pt>
                <c:pt idx="90">
                  <c:v>450</c:v>
                </c:pt>
                <c:pt idx="91">
                  <c:v>455</c:v>
                </c:pt>
                <c:pt idx="92">
                  <c:v>460</c:v>
                </c:pt>
                <c:pt idx="93">
                  <c:v>465</c:v>
                </c:pt>
                <c:pt idx="94">
                  <c:v>470</c:v>
                </c:pt>
                <c:pt idx="95">
                  <c:v>475</c:v>
                </c:pt>
                <c:pt idx="96">
                  <c:v>480</c:v>
                </c:pt>
                <c:pt idx="97">
                  <c:v>485</c:v>
                </c:pt>
                <c:pt idx="98">
                  <c:v>490</c:v>
                </c:pt>
                <c:pt idx="99">
                  <c:v>495</c:v>
                </c:pt>
                <c:pt idx="100">
                  <c:v>500</c:v>
                </c:pt>
                <c:pt idx="101">
                  <c:v>505</c:v>
                </c:pt>
                <c:pt idx="102">
                  <c:v>510</c:v>
                </c:pt>
              </c:numCache>
            </c:numRef>
          </c:xVal>
          <c:yVal>
            <c:numRef>
              <c:f>'Figur-Beregninger (hide)'!$S$19:$S$121</c:f>
              <c:numCache>
                <c:formatCode>0.00</c:formatCode>
                <c:ptCount val="1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numCache>
            </c:numRef>
          </c:yVal>
          <c:smooth val="1"/>
          <c:extLst>
            <c:ext xmlns:c16="http://schemas.microsoft.com/office/drawing/2014/chart" uri="{C3380CC4-5D6E-409C-BE32-E72D297353CC}">
              <c16:uniqueId val="{00000001-142E-4011-B1A1-8D020EC937AA}"/>
            </c:ext>
          </c:extLst>
        </c:ser>
        <c:ser>
          <c:idx val="3"/>
          <c:order val="2"/>
          <c:tx>
            <c:v>Normverdi</c:v>
          </c:tx>
          <c:spPr>
            <a:ln w="19050" cap="rnd">
              <a:solidFill>
                <a:schemeClr val="tx1"/>
              </a:solidFill>
              <a:round/>
            </a:ln>
            <a:effectLst/>
          </c:spPr>
          <c:marker>
            <c:symbol val="none"/>
          </c:marker>
          <c:dPt>
            <c:idx val="1"/>
            <c:marker>
              <c:symbol val="none"/>
            </c:marker>
            <c:bubble3D val="0"/>
            <c:spPr>
              <a:ln w="19050" cap="rnd">
                <a:solidFill>
                  <a:schemeClr val="tx1"/>
                </a:solidFill>
                <a:round/>
              </a:ln>
              <a:effectLst/>
            </c:spPr>
            <c:extLst>
              <c:ext xmlns:c16="http://schemas.microsoft.com/office/drawing/2014/chart" uri="{C3380CC4-5D6E-409C-BE32-E72D297353CC}">
                <c16:uniqueId val="{00000003-142E-4011-B1A1-8D020EC937AA}"/>
              </c:ext>
            </c:extLst>
          </c:dPt>
          <c:xVal>
            <c:numRef>
              <c:f>'Figur-Beregninger (hide)'!$D$54:$D$55</c:f>
              <c:numCache>
                <c:formatCode>General</c:formatCode>
                <c:ptCount val="2"/>
                <c:pt idx="0">
                  <c:v>0</c:v>
                </c:pt>
                <c:pt idx="1">
                  <c:v>1000</c:v>
                </c:pt>
              </c:numCache>
            </c:numRef>
          </c:xVal>
          <c:yVal>
            <c:numRef>
              <c:f>'Figur-Beregninger (hide)'!$C$54:$C$55</c:f>
              <c:numCache>
                <c:formatCode>General</c:formatCode>
                <c:ptCount val="2"/>
                <c:pt idx="0">
                  <c:v>8</c:v>
                </c:pt>
                <c:pt idx="1">
                  <c:v>8</c:v>
                </c:pt>
              </c:numCache>
            </c:numRef>
          </c:yVal>
          <c:smooth val="1"/>
          <c:extLst>
            <c:ext xmlns:c16="http://schemas.microsoft.com/office/drawing/2014/chart" uri="{C3380CC4-5D6E-409C-BE32-E72D297353CC}">
              <c16:uniqueId val="{00000004-142E-4011-B1A1-8D020EC937AA}"/>
            </c:ext>
          </c:extLst>
        </c:ser>
        <c:dLbls>
          <c:showLegendKey val="0"/>
          <c:showVal val="0"/>
          <c:showCatName val="0"/>
          <c:showSerName val="0"/>
          <c:showPercent val="0"/>
          <c:showBubbleSize val="0"/>
        </c:dLbls>
        <c:axId val="150145136"/>
        <c:axId val="150147880"/>
      </c:scatterChart>
      <c:valAx>
        <c:axId val="150145136"/>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US" sz="1400"/>
                  <a:t>Tid (år)</a:t>
                </a:r>
              </a:p>
            </c:rich>
          </c:tx>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nb-NO"/>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nb-NO"/>
          </a:p>
        </c:txPr>
        <c:crossAx val="150147880"/>
        <c:crossesAt val="1.0000000000000003E-4"/>
        <c:crossBetween val="midCat"/>
      </c:valAx>
      <c:valAx>
        <c:axId val="150147880"/>
        <c:scaling>
          <c:logBase val="10"/>
          <c:orientation val="minMax"/>
          <c:min val="1.0000000000000003E-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nb-NO" sz="1200"/>
                  <a:t>Konsentrasjon i jord /løsmasser (mg/kg)</a:t>
                </a:r>
              </a:p>
            </c:rich>
          </c:tx>
          <c:layout>
            <c:manualLayout>
              <c:xMode val="edge"/>
              <c:yMode val="edge"/>
              <c:x val="8.2176430073900332E-3"/>
              <c:y val="0.1125674251348502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nb-NO"/>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nb-NO"/>
          </a:p>
        </c:txPr>
        <c:crossAx val="150145136"/>
        <c:crosses val="autoZero"/>
        <c:crossBetween val="midCat"/>
      </c:valAx>
      <c:spPr>
        <a:noFill/>
        <a:ln>
          <a:noFill/>
        </a:ln>
        <a:effectLst/>
      </c:spPr>
    </c:plotArea>
    <c:legend>
      <c:legendPos val="b"/>
      <c:layout>
        <c:manualLayout>
          <c:xMode val="edge"/>
          <c:yMode val="edge"/>
          <c:x val="0.69879216336348049"/>
          <c:y val="9.2152024304048605E-2"/>
          <c:w val="0.29691117557673713"/>
          <c:h val="0.76445904891809779"/>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'Figur-output'!$K$9</c:f>
          <c:strCache>
            <c:ptCount val="1"/>
            <c:pt idx="0">
              <c:v>Vann Arsen</c:v>
            </c:pt>
          </c:strCache>
        </c:strRef>
      </c:tx>
      <c:layout>
        <c:manualLayout>
          <c:xMode val="edge"/>
          <c:yMode val="edge"/>
          <c:x val="0.38251321084864393"/>
          <c:y val="2.0997375328083989E-2"/>
        </c:manualLayout>
      </c:layout>
      <c:overlay val="0"/>
      <c:spPr>
        <a:solidFill>
          <a:schemeClr val="tx2">
            <a:lumMod val="20000"/>
            <a:lumOff val="80000"/>
          </a:schemeClr>
        </a:solid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nb-NO"/>
        </a:p>
      </c:txPr>
    </c:title>
    <c:autoTitleDeleted val="0"/>
    <c:plotArea>
      <c:layout>
        <c:manualLayout>
          <c:layoutTarget val="inner"/>
          <c:xMode val="edge"/>
          <c:yMode val="edge"/>
          <c:x val="0.14150498178019011"/>
          <c:y val="9.9802012937359214E-2"/>
          <c:w val="0.55161170351861"/>
          <c:h val="0.75867209512196798"/>
        </c:manualLayout>
      </c:layout>
      <c:scatterChart>
        <c:scatterStyle val="smoothMarker"/>
        <c:varyColors val="0"/>
        <c:ser>
          <c:idx val="0"/>
          <c:order val="0"/>
          <c:tx>
            <c:v>porevann kons (µg/L)</c:v>
          </c:tx>
          <c:spPr>
            <a:ln w="19050" cap="rnd">
              <a:solidFill>
                <a:schemeClr val="accent2"/>
              </a:solidFill>
              <a:round/>
            </a:ln>
            <a:effectLst/>
          </c:spPr>
          <c:marker>
            <c:symbol val="none"/>
          </c:marker>
          <c:xVal>
            <c:numRef>
              <c:f>'Figur-Beregninger (hide)'!$G$19:$G$121</c:f>
              <c:numCache>
                <c:formatCode>General</c:formatCode>
                <c:ptCount val="10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pt idx="73">
                  <c:v>365</c:v>
                </c:pt>
                <c:pt idx="74">
                  <c:v>370</c:v>
                </c:pt>
                <c:pt idx="75">
                  <c:v>375</c:v>
                </c:pt>
                <c:pt idx="76">
                  <c:v>380</c:v>
                </c:pt>
                <c:pt idx="77">
                  <c:v>385</c:v>
                </c:pt>
                <c:pt idx="78">
                  <c:v>390</c:v>
                </c:pt>
                <c:pt idx="79">
                  <c:v>395</c:v>
                </c:pt>
                <c:pt idx="80">
                  <c:v>400</c:v>
                </c:pt>
                <c:pt idx="81">
                  <c:v>405</c:v>
                </c:pt>
                <c:pt idx="82">
                  <c:v>410</c:v>
                </c:pt>
                <c:pt idx="83">
                  <c:v>415</c:v>
                </c:pt>
                <c:pt idx="84">
                  <c:v>420</c:v>
                </c:pt>
                <c:pt idx="85">
                  <c:v>425</c:v>
                </c:pt>
                <c:pt idx="86">
                  <c:v>430</c:v>
                </c:pt>
                <c:pt idx="87">
                  <c:v>435</c:v>
                </c:pt>
                <c:pt idx="88">
                  <c:v>440</c:v>
                </c:pt>
                <c:pt idx="89">
                  <c:v>445</c:v>
                </c:pt>
                <c:pt idx="90">
                  <c:v>450</c:v>
                </c:pt>
                <c:pt idx="91">
                  <c:v>455</c:v>
                </c:pt>
                <c:pt idx="92">
                  <c:v>460</c:v>
                </c:pt>
                <c:pt idx="93">
                  <c:v>465</c:v>
                </c:pt>
                <c:pt idx="94">
                  <c:v>470</c:v>
                </c:pt>
                <c:pt idx="95">
                  <c:v>475</c:v>
                </c:pt>
                <c:pt idx="96">
                  <c:v>480</c:v>
                </c:pt>
                <c:pt idx="97">
                  <c:v>485</c:v>
                </c:pt>
                <c:pt idx="98">
                  <c:v>490</c:v>
                </c:pt>
                <c:pt idx="99">
                  <c:v>495</c:v>
                </c:pt>
                <c:pt idx="100">
                  <c:v>500</c:v>
                </c:pt>
                <c:pt idx="101">
                  <c:v>505</c:v>
                </c:pt>
                <c:pt idx="102">
                  <c:v>510</c:v>
                </c:pt>
              </c:numCache>
            </c:numRef>
          </c:xVal>
          <c:yVal>
            <c:numRef>
              <c:f>'Figur-Beregninger (hide)'!$M$19:$M$121</c:f>
              <c:numCache>
                <c:formatCode>General</c:formatCode>
                <c:ptCount val="1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numCache>
            </c:numRef>
          </c:yVal>
          <c:smooth val="1"/>
          <c:extLst>
            <c:ext xmlns:c16="http://schemas.microsoft.com/office/drawing/2014/chart" uri="{C3380CC4-5D6E-409C-BE32-E72D297353CC}">
              <c16:uniqueId val="{00000000-8F0F-4477-AD04-C7C7BB907296}"/>
            </c:ext>
          </c:extLst>
        </c:ser>
        <c:ser>
          <c:idx val="1"/>
          <c:order val="1"/>
          <c:tx>
            <c:v>grunnvann kons (µg/L)</c:v>
          </c:tx>
          <c:spPr>
            <a:ln w="19050" cap="rnd">
              <a:solidFill>
                <a:schemeClr val="accent4"/>
              </a:solidFill>
              <a:round/>
            </a:ln>
            <a:effectLst/>
          </c:spPr>
          <c:marker>
            <c:symbol val="none"/>
          </c:marker>
          <c:xVal>
            <c:numRef>
              <c:f>'Figur-Beregninger (hide)'!$G$19:$G$121</c:f>
              <c:numCache>
                <c:formatCode>General</c:formatCode>
                <c:ptCount val="10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pt idx="73">
                  <c:v>365</c:v>
                </c:pt>
                <c:pt idx="74">
                  <c:v>370</c:v>
                </c:pt>
                <c:pt idx="75">
                  <c:v>375</c:v>
                </c:pt>
                <c:pt idx="76">
                  <c:v>380</c:v>
                </c:pt>
                <c:pt idx="77">
                  <c:v>385</c:v>
                </c:pt>
                <c:pt idx="78">
                  <c:v>390</c:v>
                </c:pt>
                <c:pt idx="79">
                  <c:v>395</c:v>
                </c:pt>
                <c:pt idx="80">
                  <c:v>400</c:v>
                </c:pt>
                <c:pt idx="81">
                  <c:v>405</c:v>
                </c:pt>
                <c:pt idx="82">
                  <c:v>410</c:v>
                </c:pt>
                <c:pt idx="83">
                  <c:v>415</c:v>
                </c:pt>
                <c:pt idx="84">
                  <c:v>420</c:v>
                </c:pt>
                <c:pt idx="85">
                  <c:v>425</c:v>
                </c:pt>
                <c:pt idx="86">
                  <c:v>430</c:v>
                </c:pt>
                <c:pt idx="87">
                  <c:v>435</c:v>
                </c:pt>
                <c:pt idx="88">
                  <c:v>440</c:v>
                </c:pt>
                <c:pt idx="89">
                  <c:v>445</c:v>
                </c:pt>
                <c:pt idx="90">
                  <c:v>450</c:v>
                </c:pt>
                <c:pt idx="91">
                  <c:v>455</c:v>
                </c:pt>
                <c:pt idx="92">
                  <c:v>460</c:v>
                </c:pt>
                <c:pt idx="93">
                  <c:v>465</c:v>
                </c:pt>
                <c:pt idx="94">
                  <c:v>470</c:v>
                </c:pt>
                <c:pt idx="95">
                  <c:v>475</c:v>
                </c:pt>
                <c:pt idx="96">
                  <c:v>480</c:v>
                </c:pt>
                <c:pt idx="97">
                  <c:v>485</c:v>
                </c:pt>
                <c:pt idx="98">
                  <c:v>490</c:v>
                </c:pt>
                <c:pt idx="99">
                  <c:v>495</c:v>
                </c:pt>
                <c:pt idx="100">
                  <c:v>500</c:v>
                </c:pt>
                <c:pt idx="101">
                  <c:v>505</c:v>
                </c:pt>
                <c:pt idx="102">
                  <c:v>510</c:v>
                </c:pt>
              </c:numCache>
            </c:numRef>
          </c:xVal>
          <c:yVal>
            <c:numRef>
              <c:f>'Figur-Beregninger (hide)'!$T$19:$T$121</c:f>
              <c:numCache>
                <c:formatCode>0.00</c:formatCode>
                <c:ptCount val="103"/>
                <c:pt idx="0">
                  <c:v>0</c:v>
                </c:pt>
                <c:pt idx="1">
                  <c:v>0</c:v>
                </c:pt>
                <c:pt idx="2">
                  <c:v>0</c:v>
                </c:pt>
                <c:pt idx="3">
                  <c:v>0</c:v>
                </c:pt>
                <c:pt idx="4">
                  <c:v>0</c:v>
                </c:pt>
                <c:pt idx="5">
                  <c:v>0</c:v>
                </c:pt>
                <c:pt idx="6">
                  <c:v>0</c:v>
                </c:pt>
                <c:pt idx="7">
                  <c:v>0</c:v>
                </c:pt>
                <c:pt idx="8">
                  <c:v>0</c:v>
                </c:pt>
                <c:pt idx="9">
                  <c:v>0</c:v>
                </c:pt>
                <c:pt idx="10">
                  <c:v>0</c:v>
                </c:pt>
                <c:pt idx="11">
                  <c:v>0</c:v>
                </c:pt>
                <c:pt idx="12" formatCode="0.0000">
                  <c:v>0</c:v>
                </c:pt>
                <c:pt idx="13" formatCode="0.0000">
                  <c:v>0</c:v>
                </c:pt>
                <c:pt idx="14" formatCode="0.0000">
                  <c:v>0</c:v>
                </c:pt>
                <c:pt idx="15" formatCode="0.0000">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numCache>
            </c:numRef>
          </c:yVal>
          <c:smooth val="1"/>
          <c:extLst>
            <c:ext xmlns:c16="http://schemas.microsoft.com/office/drawing/2014/chart" uri="{C3380CC4-5D6E-409C-BE32-E72D297353CC}">
              <c16:uniqueId val="{00000001-8F0F-4477-AD04-C7C7BB907296}"/>
            </c:ext>
          </c:extLst>
        </c:ser>
        <c:ser>
          <c:idx val="2"/>
          <c:order val="2"/>
          <c:tx>
            <c:v>resipient kons (µg/L) </c:v>
          </c:tx>
          <c:spPr>
            <a:ln w="19050" cap="rnd">
              <a:solidFill>
                <a:schemeClr val="accent1"/>
              </a:solidFill>
              <a:round/>
            </a:ln>
            <a:effectLst/>
          </c:spPr>
          <c:marker>
            <c:symbol val="none"/>
          </c:marker>
          <c:xVal>
            <c:numRef>
              <c:f>'Figur-Beregninger (hide)'!$G$19:$G$121</c:f>
              <c:numCache>
                <c:formatCode>General</c:formatCode>
                <c:ptCount val="10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pt idx="53">
                  <c:v>265</c:v>
                </c:pt>
                <c:pt idx="54">
                  <c:v>270</c:v>
                </c:pt>
                <c:pt idx="55">
                  <c:v>275</c:v>
                </c:pt>
                <c:pt idx="56">
                  <c:v>280</c:v>
                </c:pt>
                <c:pt idx="57">
                  <c:v>285</c:v>
                </c:pt>
                <c:pt idx="58">
                  <c:v>290</c:v>
                </c:pt>
                <c:pt idx="59">
                  <c:v>295</c:v>
                </c:pt>
                <c:pt idx="60">
                  <c:v>300</c:v>
                </c:pt>
                <c:pt idx="61">
                  <c:v>305</c:v>
                </c:pt>
                <c:pt idx="62">
                  <c:v>310</c:v>
                </c:pt>
                <c:pt idx="63">
                  <c:v>315</c:v>
                </c:pt>
                <c:pt idx="64">
                  <c:v>320</c:v>
                </c:pt>
                <c:pt idx="65">
                  <c:v>325</c:v>
                </c:pt>
                <c:pt idx="66">
                  <c:v>330</c:v>
                </c:pt>
                <c:pt idx="67">
                  <c:v>335</c:v>
                </c:pt>
                <c:pt idx="68">
                  <c:v>340</c:v>
                </c:pt>
                <c:pt idx="69">
                  <c:v>345</c:v>
                </c:pt>
                <c:pt idx="70">
                  <c:v>350</c:v>
                </c:pt>
                <c:pt idx="71">
                  <c:v>355</c:v>
                </c:pt>
                <c:pt idx="72">
                  <c:v>360</c:v>
                </c:pt>
                <c:pt idx="73">
                  <c:v>365</c:v>
                </c:pt>
                <c:pt idx="74">
                  <c:v>370</c:v>
                </c:pt>
                <c:pt idx="75">
                  <c:v>375</c:v>
                </c:pt>
                <c:pt idx="76">
                  <c:v>380</c:v>
                </c:pt>
                <c:pt idx="77">
                  <c:v>385</c:v>
                </c:pt>
                <c:pt idx="78">
                  <c:v>390</c:v>
                </c:pt>
                <c:pt idx="79">
                  <c:v>395</c:v>
                </c:pt>
                <c:pt idx="80">
                  <c:v>400</c:v>
                </c:pt>
                <c:pt idx="81">
                  <c:v>405</c:v>
                </c:pt>
                <c:pt idx="82">
                  <c:v>410</c:v>
                </c:pt>
                <c:pt idx="83">
                  <c:v>415</c:v>
                </c:pt>
                <c:pt idx="84">
                  <c:v>420</c:v>
                </c:pt>
                <c:pt idx="85">
                  <c:v>425</c:v>
                </c:pt>
                <c:pt idx="86">
                  <c:v>430</c:v>
                </c:pt>
                <c:pt idx="87">
                  <c:v>435</c:v>
                </c:pt>
                <c:pt idx="88">
                  <c:v>440</c:v>
                </c:pt>
                <c:pt idx="89">
                  <c:v>445</c:v>
                </c:pt>
                <c:pt idx="90">
                  <c:v>450</c:v>
                </c:pt>
                <c:pt idx="91">
                  <c:v>455</c:v>
                </c:pt>
                <c:pt idx="92">
                  <c:v>460</c:v>
                </c:pt>
                <c:pt idx="93">
                  <c:v>465</c:v>
                </c:pt>
                <c:pt idx="94">
                  <c:v>470</c:v>
                </c:pt>
                <c:pt idx="95">
                  <c:v>475</c:v>
                </c:pt>
                <c:pt idx="96">
                  <c:v>480</c:v>
                </c:pt>
                <c:pt idx="97">
                  <c:v>485</c:v>
                </c:pt>
                <c:pt idx="98">
                  <c:v>490</c:v>
                </c:pt>
                <c:pt idx="99">
                  <c:v>495</c:v>
                </c:pt>
                <c:pt idx="100">
                  <c:v>500</c:v>
                </c:pt>
                <c:pt idx="101">
                  <c:v>505</c:v>
                </c:pt>
                <c:pt idx="102">
                  <c:v>510</c:v>
                </c:pt>
              </c:numCache>
            </c:numRef>
          </c:xVal>
          <c:yVal>
            <c:numRef>
              <c:f>'Figur-Beregninger (hide)'!$AC$19:$AC$121</c:f>
              <c:numCache>
                <c:formatCode>0.00E+00</c:formatCode>
                <c:ptCount val="10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numCache>
            </c:numRef>
          </c:yVal>
          <c:smooth val="1"/>
          <c:extLst>
            <c:ext xmlns:c16="http://schemas.microsoft.com/office/drawing/2014/chart" uri="{C3380CC4-5D6E-409C-BE32-E72D297353CC}">
              <c16:uniqueId val="{00000002-8F0F-4477-AD04-C7C7BB907296}"/>
            </c:ext>
          </c:extLst>
        </c:ser>
        <c:ser>
          <c:idx val="3"/>
          <c:order val="3"/>
          <c:tx>
            <c:v>EQS eller PNEC</c:v>
          </c:tx>
          <c:spPr>
            <a:ln w="19050" cap="rnd">
              <a:solidFill>
                <a:schemeClr val="tx1"/>
              </a:solidFill>
              <a:round/>
            </a:ln>
            <a:effectLst/>
          </c:spPr>
          <c:marker>
            <c:symbol val="none"/>
          </c:marker>
          <c:dPt>
            <c:idx val="1"/>
            <c:marker>
              <c:symbol val="none"/>
            </c:marker>
            <c:bubble3D val="0"/>
            <c:extLst>
              <c:ext xmlns:c16="http://schemas.microsoft.com/office/drawing/2014/chart" uri="{C3380CC4-5D6E-409C-BE32-E72D297353CC}">
                <c16:uniqueId val="{00000003-8F0F-4477-AD04-C7C7BB907296}"/>
              </c:ext>
            </c:extLst>
          </c:dPt>
          <c:xVal>
            <c:numRef>
              <c:f>'Figur-Beregninger (hide)'!$D$57:$D$58</c:f>
              <c:numCache>
                <c:formatCode>General</c:formatCode>
                <c:ptCount val="2"/>
                <c:pt idx="0">
                  <c:v>0</c:v>
                </c:pt>
                <c:pt idx="1">
                  <c:v>1000</c:v>
                </c:pt>
              </c:numCache>
            </c:numRef>
          </c:xVal>
          <c:yVal>
            <c:numRef>
              <c:f>'Figur-Beregninger (hide)'!$C$57:$C$58</c:f>
              <c:numCache>
                <c:formatCode>General</c:formatCode>
                <c:ptCount val="2"/>
                <c:pt idx="0">
                  <c:v>0.5</c:v>
                </c:pt>
                <c:pt idx="1">
                  <c:v>0.5</c:v>
                </c:pt>
              </c:numCache>
            </c:numRef>
          </c:yVal>
          <c:smooth val="1"/>
          <c:extLst>
            <c:ext xmlns:c16="http://schemas.microsoft.com/office/drawing/2014/chart" uri="{C3380CC4-5D6E-409C-BE32-E72D297353CC}">
              <c16:uniqueId val="{00000004-8F0F-4477-AD04-C7C7BB907296}"/>
            </c:ext>
          </c:extLst>
        </c:ser>
        <c:dLbls>
          <c:showLegendKey val="0"/>
          <c:showVal val="0"/>
          <c:showCatName val="0"/>
          <c:showSerName val="0"/>
          <c:showPercent val="0"/>
          <c:showBubbleSize val="0"/>
        </c:dLbls>
        <c:axId val="150145528"/>
        <c:axId val="150148272"/>
      </c:scatterChart>
      <c:valAx>
        <c:axId val="150145528"/>
        <c:scaling>
          <c:orientation val="minMax"/>
          <c:max val="100"/>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r>
                  <a:rPr lang="en-US" sz="1400"/>
                  <a:t>Tid (år)</a:t>
                </a:r>
              </a:p>
            </c:rich>
          </c:tx>
          <c:layout>
            <c:manualLayout>
              <c:xMode val="edge"/>
              <c:yMode val="edge"/>
              <c:x val="0.36723906420507335"/>
              <c:y val="0.9144671089342179"/>
            </c:manualLayout>
          </c:layout>
          <c:overlay val="0"/>
          <c:spPr>
            <a:noFill/>
            <a:ln>
              <a:noFill/>
            </a:ln>
            <a:effectLst/>
          </c:spPr>
          <c:txPr>
            <a:bodyPr rot="0" spcFirstLastPara="1" vertOverflow="ellipsis" vert="horz" wrap="square" anchor="ctr" anchorCtr="1"/>
            <a:lstStyle/>
            <a:p>
              <a:pPr>
                <a:defRPr sz="1400" b="1" i="0" u="none" strike="noStrike" kern="1200" baseline="0">
                  <a:solidFill>
                    <a:sysClr val="windowText" lastClr="000000"/>
                  </a:solidFill>
                  <a:latin typeface="+mn-lt"/>
                  <a:ea typeface="+mn-ea"/>
                  <a:cs typeface="+mn-cs"/>
                </a:defRPr>
              </a:pPr>
              <a:endParaRPr lang="nb-NO"/>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nb-NO"/>
          </a:p>
        </c:txPr>
        <c:crossAx val="150148272"/>
        <c:crossesAt val="1.0000000000000004E-6"/>
        <c:crossBetween val="midCat"/>
      </c:valAx>
      <c:valAx>
        <c:axId val="150148272"/>
        <c:scaling>
          <c:logBase val="10"/>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nb-NO" sz="1200"/>
                  <a:t>Konsentrasjon i vann/porevann (µg/L)</a:t>
                </a:r>
              </a:p>
            </c:rich>
          </c:tx>
          <c:layout>
            <c:manualLayout>
              <c:xMode val="edge"/>
              <c:yMode val="edge"/>
              <c:x val="7.3077032295228942E-3"/>
              <c:y val="0.14406348812697622"/>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nb-NO"/>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nb-NO"/>
          </a:p>
        </c:txPr>
        <c:crossAx val="150145528"/>
        <c:crosses val="autoZero"/>
        <c:crossBetween val="midCat"/>
      </c:valAx>
      <c:spPr>
        <a:noFill/>
        <a:ln>
          <a:noFill/>
        </a:ln>
        <a:effectLst/>
      </c:spPr>
    </c:plotArea>
    <c:legend>
      <c:legendPos val="b"/>
      <c:layout>
        <c:manualLayout>
          <c:xMode val="edge"/>
          <c:yMode val="edge"/>
          <c:x val="0.72534645669291342"/>
          <c:y val="0.10615027452277127"/>
          <c:w val="0.27035689726976009"/>
          <c:h val="0.75396036125405586"/>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nb-N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xdr:colOff>
      <xdr:row>6</xdr:row>
      <xdr:rowOff>180975</xdr:rowOff>
    </xdr:from>
    <xdr:to>
      <xdr:col>8</xdr:col>
      <xdr:colOff>0</xdr:colOff>
      <xdr:row>26</xdr:row>
      <xdr:rowOff>0</xdr:rowOff>
    </xdr:to>
    <xdr:graphicFrame macro="">
      <xdr:nvGraphicFramePr>
        <xdr:cNvPr id="2" name="Diagram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9525</xdr:colOff>
      <xdr:row>6</xdr:row>
      <xdr:rowOff>180975</xdr:rowOff>
    </xdr:from>
    <xdr:to>
      <xdr:col>15</xdr:col>
      <xdr:colOff>552450</xdr:colOff>
      <xdr:row>26</xdr:row>
      <xdr:rowOff>0</xdr:rowOff>
    </xdr:to>
    <xdr:graphicFrame macro="">
      <xdr:nvGraphicFramePr>
        <xdr:cNvPr id="3" name="Diagram 2">
          <a:extLst>
            <a:ext uri="{FF2B5EF4-FFF2-40B4-BE49-F238E27FC236}">
              <a16:creationId xmlns:a16="http://schemas.microsoft.com/office/drawing/2014/main" id="{00000000-0008-0000-0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2876550</xdr:colOff>
      <xdr:row>2</xdr:row>
      <xdr:rowOff>47625</xdr:rowOff>
    </xdr:from>
    <xdr:to>
      <xdr:col>10</xdr:col>
      <xdr:colOff>647700</xdr:colOff>
      <xdr:row>2</xdr:row>
      <xdr:rowOff>438150</xdr:rowOff>
    </xdr:to>
    <xdr:pic>
      <xdr:nvPicPr>
        <xdr:cNvPr id="2" name="Picture 1">
          <a:extLst>
            <a:ext uri="{FF2B5EF4-FFF2-40B4-BE49-F238E27FC236}">
              <a16:creationId xmlns:a16="http://schemas.microsoft.com/office/drawing/2014/main" id="{F2168946-7080-43C1-985D-F4619B5C8B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868025" y="485775"/>
          <a:ext cx="5762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3076575</xdr:colOff>
      <xdr:row>3</xdr:row>
      <xdr:rowOff>19050</xdr:rowOff>
    </xdr:from>
    <xdr:to>
      <xdr:col>11</xdr:col>
      <xdr:colOff>85725</xdr:colOff>
      <xdr:row>3</xdr:row>
      <xdr:rowOff>409575</xdr:rowOff>
    </xdr:to>
    <xdr:pic>
      <xdr:nvPicPr>
        <xdr:cNvPr id="3" name="Picture 2">
          <a:extLst>
            <a:ext uri="{FF2B5EF4-FFF2-40B4-BE49-F238E27FC236}">
              <a16:creationId xmlns:a16="http://schemas.microsoft.com/office/drawing/2014/main" id="{3D01A5BD-F908-4F0F-B645-91CA9CD595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68050" y="923925"/>
          <a:ext cx="5762625"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br/Documents/Risikovurdering%20sediment/M4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ukerveiledning"/>
      <sheetName val="1a. Stedsspesifikke data"/>
      <sheetName val="1b. Konsentrasjon sediment"/>
      <sheetName val="1c. Konsentrasjon sjøvann"/>
      <sheetName val="1d. Konsentrasjon porevann"/>
      <sheetName val="1e. Vevskons i bunnfauna "/>
      <sheetName val="1f. Vevskons i fisk"/>
      <sheetName val="1g. Økotoksisitet"/>
      <sheetName val="2a. Mellomberegning"/>
      <sheetName val="2b. Stedsspesifikk Kd"/>
      <sheetName val="2c. Tillatt spredning"/>
      <sheetName val="3a. Beregnet spredning"/>
      <sheetName val="3b.Beregnet human risiko voksne"/>
      <sheetName val="3c. Beregnet human risiko barn"/>
      <sheetName val="4. Samlede resultater"/>
      <sheetName val="Stoffdata"/>
      <sheetName val="Kontrollark"/>
      <sheetName val="Eks Dia maks spredning"/>
      <sheetName val="Eks Dia middel spredning"/>
      <sheetName val="Eks Dia maks human"/>
      <sheetName val="Eks Dia middel human"/>
      <sheetName val="Revisjonsprotokoll"/>
      <sheetName val="NGI rapport 20150309-01"/>
    </sheetNames>
    <sheetDataSet>
      <sheetData sheetId="0"/>
      <sheetData sheetId="1">
        <row r="12">
          <cell r="C12">
            <v>1</v>
          </cell>
        </row>
        <row r="14">
          <cell r="B14">
            <v>0.7</v>
          </cell>
          <cell r="C14">
            <v>0.7</v>
          </cell>
        </row>
        <row r="15">
          <cell r="C15">
            <v>315576000</v>
          </cell>
        </row>
        <row r="17">
          <cell r="C17"/>
        </row>
        <row r="18">
          <cell r="C18" t="str">
            <v xml:space="preserve"> </v>
          </cell>
        </row>
        <row r="19">
          <cell r="C19" t="str">
            <v xml:space="preserve"> </v>
          </cell>
        </row>
        <row r="24">
          <cell r="B24">
            <v>3</v>
          </cell>
          <cell r="C24">
            <v>3</v>
          </cell>
        </row>
        <row r="25">
          <cell r="B25">
            <v>10</v>
          </cell>
          <cell r="C25">
            <v>10</v>
          </cell>
        </row>
        <row r="26">
          <cell r="B26">
            <v>1</v>
          </cell>
          <cell r="C26">
            <v>1</v>
          </cell>
        </row>
        <row r="28">
          <cell r="C28" t="str">
            <v xml:space="preserve"> </v>
          </cell>
        </row>
        <row r="29">
          <cell r="B29">
            <v>120</v>
          </cell>
          <cell r="C29">
            <v>120</v>
          </cell>
        </row>
        <row r="30">
          <cell r="C30" t="str">
            <v xml:space="preserve"> </v>
          </cell>
        </row>
        <row r="31">
          <cell r="C31" t="str">
            <v xml:space="preserve"> </v>
          </cell>
        </row>
        <row r="32">
          <cell r="C32" t="str">
            <v xml:space="preserve"> </v>
          </cell>
        </row>
        <row r="34">
          <cell r="B34">
            <v>0.25</v>
          </cell>
          <cell r="C34">
            <v>0.25</v>
          </cell>
        </row>
        <row r="35">
          <cell r="B35">
            <v>200</v>
          </cell>
          <cell r="C35">
            <v>200</v>
          </cell>
        </row>
        <row r="36">
          <cell r="B36">
            <v>0.47</v>
          </cell>
          <cell r="C36">
            <v>0.47</v>
          </cell>
        </row>
        <row r="37">
          <cell r="B37">
            <v>31</v>
          </cell>
          <cell r="C37">
            <v>31</v>
          </cell>
        </row>
        <row r="40">
          <cell r="C40">
            <v>100</v>
          </cell>
        </row>
        <row r="41">
          <cell r="C41">
            <v>1.3</v>
          </cell>
        </row>
        <row r="42">
          <cell r="C42">
            <v>0.35</v>
          </cell>
        </row>
        <row r="47">
          <cell r="C47">
            <v>1</v>
          </cell>
        </row>
        <row r="48">
          <cell r="C48">
            <v>0.15</v>
          </cell>
        </row>
        <row r="49">
          <cell r="C49">
            <v>3.0000000000000001E-5</v>
          </cell>
        </row>
        <row r="50">
          <cell r="C50">
            <v>0.5</v>
          </cell>
        </row>
        <row r="52">
          <cell r="D52">
            <v>70</v>
          </cell>
          <cell r="E52">
            <v>15</v>
          </cell>
        </row>
        <row r="54">
          <cell r="D54">
            <v>8.2191780821917804E-2</v>
          </cell>
          <cell r="E54">
            <v>8.2191780821917804E-2</v>
          </cell>
        </row>
        <row r="55">
          <cell r="D55">
            <v>3.5E-4</v>
          </cell>
          <cell r="E55">
            <v>1E-3</v>
          </cell>
        </row>
        <row r="57">
          <cell r="D57">
            <v>8.2191780821917804E-2</v>
          </cell>
          <cell r="E57">
            <v>8.2191780821917804E-2</v>
          </cell>
        </row>
        <row r="58">
          <cell r="D58">
            <v>0.05</v>
          </cell>
          <cell r="E58">
            <v>0.05</v>
          </cell>
        </row>
        <row r="60">
          <cell r="D60">
            <v>8.2191780821917804E-2</v>
          </cell>
          <cell r="E60">
            <v>8.2191780821917804E-2</v>
          </cell>
        </row>
        <row r="63">
          <cell r="D63">
            <v>8.2191780821917804E-2</v>
          </cell>
          <cell r="E63">
            <v>8.2191780821917804E-2</v>
          </cell>
        </row>
        <row r="64">
          <cell r="D64">
            <v>0.28000000000000003</v>
          </cell>
          <cell r="E64">
            <v>0.17</v>
          </cell>
        </row>
        <row r="65">
          <cell r="D65">
            <v>3.7499999999999999E-2</v>
          </cell>
          <cell r="E65">
            <v>5.1000000000000004E-3</v>
          </cell>
        </row>
        <row r="66">
          <cell r="D66">
            <v>5.0000000000000001E-3</v>
          </cell>
          <cell r="E66">
            <v>0.01</v>
          </cell>
        </row>
        <row r="67">
          <cell r="D67">
            <v>8</v>
          </cell>
          <cell r="E67">
            <v>8</v>
          </cell>
        </row>
        <row r="69">
          <cell r="D69">
            <v>8.2191780821917804E-2</v>
          </cell>
          <cell r="E69">
            <v>8.2191780821917804E-2</v>
          </cell>
        </row>
        <row r="70">
          <cell r="D70">
            <v>1.8</v>
          </cell>
          <cell r="E70">
            <v>0.95</v>
          </cell>
        </row>
        <row r="71">
          <cell r="D71">
            <v>1</v>
          </cell>
          <cell r="E71">
            <v>2</v>
          </cell>
        </row>
        <row r="73">
          <cell r="D73">
            <v>0.13800000000000001</v>
          </cell>
          <cell r="E73">
            <v>2.8000000000000001E-2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sheetData sheetId="2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
  <sheetViews>
    <sheetView tabSelected="1" workbookViewId="0">
      <selection activeCell="D11" sqref="D11:L11"/>
    </sheetView>
  </sheetViews>
  <sheetFormatPr baseColWidth="10" defaultColWidth="9.1796875" defaultRowHeight="12.5" x14ac:dyDescent="0.25"/>
  <cols>
    <col min="1" max="2" width="11.453125" style="135" customWidth="1"/>
    <col min="3" max="3" width="10.453125" style="135" customWidth="1"/>
    <col min="4" max="8" width="11.453125" style="135" customWidth="1"/>
    <col min="9" max="9" width="8.453125" style="135" customWidth="1"/>
    <col min="10" max="10" width="7" style="135" hidden="1" customWidth="1"/>
    <col min="11" max="256" width="11.453125" style="135" customWidth="1"/>
    <col min="257" max="16384" width="9.1796875" style="135"/>
  </cols>
  <sheetData>
    <row r="1" spans="1:12" s="95" customFormat="1" ht="21" x14ac:dyDescent="0.5">
      <c r="A1" s="95" t="s">
        <v>629</v>
      </c>
    </row>
    <row r="2" spans="1:12" s="95" customFormat="1" ht="21" x14ac:dyDescent="0.5">
      <c r="A2" s="108" t="s">
        <v>756</v>
      </c>
    </row>
    <row r="3" spans="1:12" customFormat="1" ht="14.5" x14ac:dyDescent="0.35">
      <c r="A3" s="38" t="s">
        <v>630</v>
      </c>
      <c r="B3" s="96">
        <v>0</v>
      </c>
    </row>
    <row r="4" spans="1:12" customFormat="1" ht="14.5" x14ac:dyDescent="0.35">
      <c r="A4" s="38" t="s">
        <v>627</v>
      </c>
      <c r="B4" s="97">
        <v>43921</v>
      </c>
    </row>
    <row r="5" spans="1:12" s="150" customFormat="1" ht="18.5" x14ac:dyDescent="0.45">
      <c r="A5" s="149" t="s">
        <v>699</v>
      </c>
    </row>
    <row r="6" spans="1:12" ht="9" customHeight="1" x14ac:dyDescent="0.25"/>
    <row r="7" spans="1:12" ht="42.75" customHeight="1" x14ac:dyDescent="0.25">
      <c r="A7" s="352" t="s">
        <v>729</v>
      </c>
      <c r="B7" s="352"/>
      <c r="C7" s="352"/>
      <c r="D7" s="352"/>
      <c r="E7" s="352"/>
      <c r="F7" s="352"/>
      <c r="G7" s="352"/>
      <c r="H7" s="352"/>
      <c r="I7" s="352"/>
      <c r="J7" s="352"/>
      <c r="K7" s="352"/>
    </row>
    <row r="8" spans="1:12" ht="7.5" customHeight="1" x14ac:dyDescent="0.25">
      <c r="A8" s="136"/>
      <c r="B8" s="137"/>
      <c r="C8" s="137"/>
      <c r="D8" s="137"/>
      <c r="E8" s="137"/>
      <c r="F8" s="137"/>
      <c r="G8" s="137"/>
      <c r="H8" s="137"/>
      <c r="I8" s="137"/>
      <c r="J8" s="137"/>
      <c r="K8" s="137"/>
    </row>
    <row r="9" spans="1:12" ht="42" customHeight="1" x14ac:dyDescent="0.25">
      <c r="A9" s="352" t="s">
        <v>746</v>
      </c>
      <c r="B9" s="352"/>
      <c r="C9" s="352"/>
      <c r="D9" s="352"/>
      <c r="E9" s="352"/>
      <c r="F9" s="352"/>
      <c r="G9" s="352"/>
      <c r="H9" s="352"/>
      <c r="I9" s="352"/>
      <c r="J9" s="352"/>
      <c r="K9" s="352"/>
    </row>
    <row r="10" spans="1:12" ht="6" customHeight="1" x14ac:dyDescent="0.25">
      <c r="A10" s="138"/>
      <c r="B10" s="138"/>
      <c r="C10" s="138"/>
      <c r="D10" s="138"/>
      <c r="E10" s="138"/>
      <c r="F10" s="138"/>
      <c r="G10" s="138"/>
      <c r="H10" s="138"/>
      <c r="I10" s="138"/>
      <c r="J10" s="138"/>
      <c r="K10" s="138"/>
      <c r="L10" s="139"/>
    </row>
    <row r="11" spans="1:12" ht="57" customHeight="1" x14ac:dyDescent="0.25">
      <c r="A11" s="351" t="s">
        <v>703</v>
      </c>
      <c r="B11" s="351"/>
      <c r="C11" s="351"/>
      <c r="D11" s="342" t="s">
        <v>704</v>
      </c>
      <c r="E11" s="342"/>
      <c r="F11" s="342"/>
      <c r="G11" s="342"/>
      <c r="H11" s="342"/>
      <c r="I11" s="342"/>
      <c r="J11" s="342"/>
      <c r="K11" s="342"/>
      <c r="L11" s="342"/>
    </row>
    <row r="12" spans="1:12" ht="6" customHeight="1" x14ac:dyDescent="0.25">
      <c r="A12" s="140"/>
      <c r="B12" s="140"/>
      <c r="C12" s="140"/>
      <c r="D12" s="140"/>
      <c r="E12" s="140"/>
      <c r="F12" s="140"/>
      <c r="G12" s="140"/>
      <c r="H12" s="140"/>
      <c r="I12" s="140"/>
      <c r="J12" s="140"/>
      <c r="K12" s="140"/>
      <c r="L12" s="139"/>
    </row>
    <row r="13" spans="1:12" ht="42" customHeight="1" x14ac:dyDescent="0.25">
      <c r="A13" s="350" t="s">
        <v>705</v>
      </c>
      <c r="B13" s="350"/>
      <c r="C13" s="350"/>
      <c r="D13" s="342" t="s">
        <v>730</v>
      </c>
      <c r="E13" s="353"/>
      <c r="F13" s="353"/>
      <c r="G13" s="353"/>
      <c r="H13" s="353"/>
      <c r="I13" s="353"/>
      <c r="J13" s="353"/>
      <c r="K13" s="353"/>
      <c r="L13" s="353"/>
    </row>
    <row r="14" spans="1:12" ht="6" customHeight="1" x14ac:dyDescent="0.25">
      <c r="A14" s="343"/>
      <c r="B14" s="343"/>
      <c r="C14" s="343"/>
      <c r="D14" s="343"/>
      <c r="E14" s="343"/>
      <c r="F14" s="343"/>
      <c r="G14" s="343"/>
      <c r="H14" s="343"/>
      <c r="I14" s="343"/>
      <c r="J14" s="343"/>
      <c r="K14" s="343"/>
      <c r="L14" s="142"/>
    </row>
    <row r="15" spans="1:12" ht="77.25" customHeight="1" x14ac:dyDescent="0.25">
      <c r="A15" s="350" t="s">
        <v>706</v>
      </c>
      <c r="B15" s="350"/>
      <c r="C15" s="350"/>
      <c r="D15" s="342" t="s">
        <v>731</v>
      </c>
      <c r="E15" s="342"/>
      <c r="F15" s="342"/>
      <c r="G15" s="342"/>
      <c r="H15" s="342"/>
      <c r="I15" s="342"/>
      <c r="J15" s="342"/>
      <c r="K15" s="342"/>
      <c r="L15" s="342"/>
    </row>
    <row r="16" spans="1:12" ht="6" customHeight="1" x14ac:dyDescent="0.25">
      <c r="A16" s="143"/>
      <c r="B16" s="143"/>
      <c r="C16" s="143"/>
      <c r="D16" s="143"/>
      <c r="E16" s="143"/>
      <c r="F16" s="143"/>
      <c r="G16" s="143"/>
      <c r="H16" s="143"/>
      <c r="I16" s="143"/>
      <c r="J16" s="143"/>
      <c r="K16" s="143"/>
      <c r="L16" s="142"/>
    </row>
    <row r="17" spans="1:12" ht="67.5" customHeight="1" x14ac:dyDescent="0.25">
      <c r="A17" s="141" t="s">
        <v>707</v>
      </c>
      <c r="B17" s="144"/>
      <c r="C17" s="148"/>
      <c r="D17" s="342" t="s">
        <v>733</v>
      </c>
      <c r="E17" s="342"/>
      <c r="F17" s="342"/>
      <c r="G17" s="342"/>
      <c r="H17" s="342"/>
      <c r="I17" s="342"/>
      <c r="J17" s="342"/>
      <c r="K17" s="342"/>
      <c r="L17" s="342"/>
    </row>
    <row r="18" spans="1:12" ht="6" customHeight="1" x14ac:dyDescent="0.25">
      <c r="A18" s="143"/>
      <c r="B18" s="143"/>
      <c r="C18" s="143"/>
      <c r="D18" s="143"/>
      <c r="E18" s="143"/>
      <c r="F18" s="143"/>
      <c r="G18" s="143"/>
      <c r="H18" s="143"/>
      <c r="I18" s="143"/>
      <c r="J18" s="143"/>
      <c r="K18" s="143"/>
      <c r="L18" s="142"/>
    </row>
    <row r="19" spans="1:12" ht="67.5" customHeight="1" x14ac:dyDescent="0.25">
      <c r="A19" s="141" t="s">
        <v>708</v>
      </c>
      <c r="B19" s="144"/>
      <c r="C19" s="144"/>
      <c r="D19" s="342" t="s">
        <v>732</v>
      </c>
      <c r="E19" s="342"/>
      <c r="F19" s="342"/>
      <c r="G19" s="342"/>
      <c r="H19" s="342"/>
      <c r="I19" s="342"/>
      <c r="J19" s="342"/>
      <c r="K19" s="342"/>
      <c r="L19" s="342"/>
    </row>
    <row r="20" spans="1:12" ht="6" customHeight="1" x14ac:dyDescent="0.25">
      <c r="A20" s="143"/>
      <c r="B20" s="143"/>
      <c r="C20" s="143"/>
      <c r="D20" s="143"/>
      <c r="E20" s="143"/>
      <c r="F20" s="143"/>
      <c r="G20" s="143"/>
      <c r="H20" s="143"/>
      <c r="I20" s="143"/>
      <c r="J20" s="143"/>
      <c r="K20" s="143"/>
      <c r="L20" s="142"/>
    </row>
    <row r="21" spans="1:12" ht="70.5" customHeight="1" x14ac:dyDescent="0.25">
      <c r="A21" s="141" t="s">
        <v>709</v>
      </c>
      <c r="B21" s="144"/>
      <c r="C21" s="144"/>
      <c r="D21" s="342" t="s">
        <v>735</v>
      </c>
      <c r="E21" s="342"/>
      <c r="F21" s="342"/>
      <c r="G21" s="342"/>
      <c r="H21" s="342"/>
      <c r="I21" s="342"/>
      <c r="J21" s="342"/>
      <c r="K21" s="342"/>
      <c r="L21" s="342"/>
    </row>
    <row r="22" spans="1:12" ht="6" customHeight="1" x14ac:dyDescent="0.25">
      <c r="A22" s="145"/>
      <c r="B22" s="145"/>
      <c r="C22" s="145"/>
      <c r="D22" s="146"/>
      <c r="E22" s="146"/>
      <c r="F22" s="146"/>
      <c r="G22" s="146"/>
      <c r="H22" s="146"/>
      <c r="I22" s="146"/>
      <c r="J22" s="146"/>
      <c r="K22" s="146"/>
      <c r="L22" s="146"/>
    </row>
    <row r="23" spans="1:12" ht="63.75" customHeight="1" x14ac:dyDescent="0.25">
      <c r="A23" s="141" t="s">
        <v>710</v>
      </c>
      <c r="B23" s="144"/>
      <c r="C23" s="144"/>
      <c r="D23" s="342" t="s">
        <v>734</v>
      </c>
      <c r="E23" s="342"/>
      <c r="F23" s="342"/>
      <c r="G23" s="342"/>
      <c r="H23" s="342"/>
      <c r="I23" s="342"/>
      <c r="J23" s="342"/>
      <c r="K23" s="342"/>
      <c r="L23" s="342"/>
    </row>
    <row r="24" spans="1:12" ht="6" customHeight="1" x14ac:dyDescent="0.25">
      <c r="A24" s="343"/>
      <c r="B24" s="343"/>
      <c r="C24" s="343"/>
      <c r="D24" s="343"/>
      <c r="E24" s="343"/>
      <c r="F24" s="343"/>
      <c r="G24" s="343"/>
      <c r="H24" s="343"/>
      <c r="I24" s="343"/>
      <c r="J24" s="343"/>
      <c r="K24" s="343"/>
      <c r="L24" s="142"/>
    </row>
    <row r="25" spans="1:12" ht="53.25" customHeight="1" x14ac:dyDescent="0.25">
      <c r="A25" s="345" t="s">
        <v>723</v>
      </c>
      <c r="B25" s="345"/>
      <c r="C25" s="345"/>
      <c r="D25" s="342" t="s">
        <v>736</v>
      </c>
      <c r="E25" s="342"/>
      <c r="F25" s="342"/>
      <c r="G25" s="342"/>
      <c r="H25" s="342"/>
      <c r="I25" s="342"/>
      <c r="J25" s="342"/>
      <c r="K25" s="342"/>
      <c r="L25" s="342"/>
    </row>
    <row r="26" spans="1:12" ht="6" customHeight="1" x14ac:dyDescent="0.25">
      <c r="A26" s="343"/>
      <c r="B26" s="343"/>
      <c r="C26" s="343"/>
      <c r="D26" s="343"/>
      <c r="E26" s="343"/>
      <c r="F26" s="343"/>
      <c r="G26" s="343"/>
      <c r="H26" s="343"/>
      <c r="I26" s="343"/>
      <c r="J26" s="343"/>
      <c r="K26" s="343"/>
      <c r="L26" s="142"/>
    </row>
    <row r="27" spans="1:12" ht="53.15" customHeight="1" x14ac:dyDescent="0.25">
      <c r="A27" s="348" t="s">
        <v>724</v>
      </c>
      <c r="B27" s="348"/>
      <c r="C27" s="348"/>
      <c r="D27" s="342" t="s">
        <v>737</v>
      </c>
      <c r="E27" s="342"/>
      <c r="F27" s="342"/>
      <c r="G27" s="342"/>
      <c r="H27" s="342"/>
      <c r="I27" s="342"/>
      <c r="J27" s="342"/>
      <c r="K27" s="342"/>
      <c r="L27" s="342"/>
    </row>
    <row r="28" spans="1:12" ht="6" customHeight="1" x14ac:dyDescent="0.25">
      <c r="A28" s="343"/>
      <c r="B28" s="343"/>
      <c r="C28" s="343"/>
      <c r="D28" s="343"/>
      <c r="E28" s="343"/>
      <c r="F28" s="343"/>
      <c r="G28" s="343"/>
      <c r="H28" s="343"/>
      <c r="I28" s="343"/>
      <c r="J28" s="343"/>
      <c r="K28" s="343"/>
      <c r="L28" s="147"/>
    </row>
    <row r="29" spans="1:12" ht="53.15" customHeight="1" x14ac:dyDescent="0.25">
      <c r="A29" s="348" t="s">
        <v>725</v>
      </c>
      <c r="B29" s="348"/>
      <c r="C29" s="348"/>
      <c r="D29" s="342" t="s">
        <v>738</v>
      </c>
      <c r="E29" s="342"/>
      <c r="F29" s="342"/>
      <c r="G29" s="342"/>
      <c r="H29" s="342"/>
      <c r="I29" s="342"/>
      <c r="J29" s="342"/>
      <c r="K29" s="342"/>
      <c r="L29" s="342"/>
    </row>
    <row r="30" spans="1:12" ht="6" customHeight="1" x14ac:dyDescent="0.25">
      <c r="A30" s="343"/>
      <c r="B30" s="343"/>
      <c r="C30" s="343"/>
      <c r="D30" s="343"/>
      <c r="E30" s="343"/>
      <c r="F30" s="343"/>
      <c r="G30" s="343"/>
      <c r="H30" s="343"/>
      <c r="I30" s="343"/>
      <c r="J30" s="343"/>
      <c r="K30" s="343"/>
      <c r="L30" s="142"/>
    </row>
    <row r="31" spans="1:12" ht="53.15" customHeight="1" x14ac:dyDescent="0.25">
      <c r="A31" s="349" t="s">
        <v>726</v>
      </c>
      <c r="B31" s="349"/>
      <c r="C31" s="349"/>
      <c r="D31" s="342" t="s">
        <v>739</v>
      </c>
      <c r="E31" s="342"/>
      <c r="F31" s="342"/>
      <c r="G31" s="342"/>
      <c r="H31" s="342"/>
      <c r="I31" s="342"/>
      <c r="J31" s="342"/>
      <c r="K31" s="342"/>
      <c r="L31" s="342"/>
    </row>
    <row r="32" spans="1:12" ht="6" customHeight="1" x14ac:dyDescent="0.25">
      <c r="A32" s="343"/>
      <c r="B32" s="343"/>
      <c r="C32" s="343"/>
      <c r="D32" s="343"/>
      <c r="E32" s="343"/>
      <c r="F32" s="343"/>
      <c r="G32" s="343"/>
      <c r="H32" s="343"/>
      <c r="I32" s="343"/>
      <c r="J32" s="343"/>
      <c r="K32" s="343"/>
      <c r="L32" s="142"/>
    </row>
    <row r="33" spans="1:12" ht="53.15" customHeight="1" x14ac:dyDescent="0.25">
      <c r="A33" s="346" t="s">
        <v>727</v>
      </c>
      <c r="B33" s="346"/>
      <c r="C33" s="346"/>
      <c r="D33" s="342" t="s">
        <v>740</v>
      </c>
      <c r="E33" s="342"/>
      <c r="F33" s="342"/>
      <c r="G33" s="342"/>
      <c r="H33" s="342"/>
      <c r="I33" s="342"/>
      <c r="J33" s="342"/>
      <c r="K33" s="342"/>
      <c r="L33" s="342"/>
    </row>
    <row r="34" spans="1:12" ht="6" customHeight="1" x14ac:dyDescent="0.25">
      <c r="A34" s="343"/>
      <c r="B34" s="343"/>
      <c r="C34" s="343"/>
      <c r="D34" s="343"/>
      <c r="E34" s="343"/>
      <c r="F34" s="343"/>
      <c r="G34" s="343"/>
      <c r="H34" s="343"/>
      <c r="I34" s="343"/>
      <c r="J34" s="343"/>
      <c r="K34" s="343"/>
      <c r="L34" s="142"/>
    </row>
    <row r="35" spans="1:12" ht="53.15" customHeight="1" x14ac:dyDescent="0.25">
      <c r="A35" s="347" t="s">
        <v>741</v>
      </c>
      <c r="B35" s="347"/>
      <c r="C35" s="347"/>
      <c r="D35" s="342" t="s">
        <v>742</v>
      </c>
      <c r="E35" s="342"/>
      <c r="F35" s="342"/>
      <c r="G35" s="342"/>
      <c r="H35" s="342"/>
      <c r="I35" s="342"/>
      <c r="J35" s="342"/>
      <c r="K35" s="342"/>
      <c r="L35" s="342"/>
    </row>
    <row r="36" spans="1:12" ht="6" customHeight="1" x14ac:dyDescent="0.25">
      <c r="A36" s="343"/>
      <c r="B36" s="343"/>
      <c r="C36" s="343"/>
      <c r="D36" s="343"/>
      <c r="E36" s="343"/>
      <c r="F36" s="343"/>
      <c r="G36" s="343"/>
      <c r="H36" s="343"/>
      <c r="I36" s="343"/>
      <c r="J36" s="343"/>
      <c r="K36" s="343"/>
      <c r="L36" s="142"/>
    </row>
    <row r="37" spans="1:12" ht="71.25" customHeight="1" x14ac:dyDescent="0.25">
      <c r="A37" s="344" t="s">
        <v>728</v>
      </c>
      <c r="B37" s="344"/>
      <c r="C37" s="344"/>
      <c r="D37" s="342" t="s">
        <v>743</v>
      </c>
      <c r="E37" s="342"/>
      <c r="F37" s="342"/>
      <c r="G37" s="342"/>
      <c r="H37" s="342"/>
      <c r="I37" s="342"/>
      <c r="J37" s="342"/>
      <c r="K37" s="342"/>
      <c r="L37" s="342"/>
    </row>
    <row r="38" spans="1:12" ht="6" customHeight="1" x14ac:dyDescent="0.25">
      <c r="A38" s="343"/>
      <c r="B38" s="343"/>
      <c r="C38" s="343"/>
      <c r="D38" s="343"/>
      <c r="E38" s="343"/>
      <c r="F38" s="343"/>
      <c r="G38" s="343"/>
      <c r="H38" s="343"/>
      <c r="I38" s="343"/>
      <c r="J38" s="343"/>
      <c r="K38" s="343"/>
      <c r="L38" s="142"/>
    </row>
    <row r="39" spans="1:12" ht="40.5" customHeight="1" x14ac:dyDescent="0.25">
      <c r="A39" s="345" t="s">
        <v>700</v>
      </c>
      <c r="B39" s="345"/>
      <c r="C39" s="345"/>
      <c r="D39" s="342" t="s">
        <v>744</v>
      </c>
      <c r="E39" s="342"/>
      <c r="F39" s="342"/>
      <c r="G39" s="342"/>
      <c r="H39" s="342"/>
      <c r="I39" s="342"/>
      <c r="J39" s="342"/>
      <c r="K39" s="342"/>
      <c r="L39" s="342"/>
    </row>
    <row r="40" spans="1:12" ht="6" customHeight="1" x14ac:dyDescent="0.25">
      <c r="A40" s="340"/>
      <c r="B40" s="340"/>
      <c r="C40" s="340"/>
      <c r="D40" s="340"/>
      <c r="E40" s="340"/>
      <c r="F40" s="340"/>
      <c r="G40" s="340"/>
      <c r="H40" s="340"/>
      <c r="I40" s="340"/>
      <c r="J40" s="340"/>
      <c r="K40" s="340"/>
      <c r="L40" s="139"/>
    </row>
    <row r="41" spans="1:12" s="151" customFormat="1" ht="16.5" customHeight="1" x14ac:dyDescent="0.35">
      <c r="A41" s="341" t="s">
        <v>701</v>
      </c>
      <c r="B41" s="341"/>
      <c r="C41" s="341"/>
      <c r="D41" s="342" t="s">
        <v>702</v>
      </c>
      <c r="E41" s="342"/>
      <c r="F41" s="342"/>
      <c r="G41" s="342"/>
      <c r="H41" s="342"/>
      <c r="I41" s="342"/>
      <c r="J41" s="342"/>
      <c r="K41" s="342"/>
      <c r="L41" s="342"/>
    </row>
    <row r="42" spans="1:12" ht="13" x14ac:dyDescent="0.25">
      <c r="A42" s="340"/>
      <c r="B42" s="340"/>
      <c r="C42" s="340"/>
      <c r="D42" s="340"/>
      <c r="E42" s="340"/>
      <c r="F42" s="340"/>
      <c r="G42" s="340"/>
      <c r="H42" s="340"/>
      <c r="I42" s="340"/>
      <c r="J42" s="340"/>
      <c r="K42" s="340"/>
      <c r="L42" s="139"/>
    </row>
  </sheetData>
  <sheetProtection sheet="1" objects="1" scenarios="1" selectLockedCells="1"/>
  <mergeCells count="41">
    <mergeCell ref="A15:C15"/>
    <mergeCell ref="D15:L15"/>
    <mergeCell ref="A11:C11"/>
    <mergeCell ref="D11:L11"/>
    <mergeCell ref="A7:K7"/>
    <mergeCell ref="A9:K9"/>
    <mergeCell ref="A13:C13"/>
    <mergeCell ref="D13:L13"/>
    <mergeCell ref="A14:K14"/>
    <mergeCell ref="D17:L17"/>
    <mergeCell ref="D19:L19"/>
    <mergeCell ref="D21:L21"/>
    <mergeCell ref="D23:L23"/>
    <mergeCell ref="A24:K24"/>
    <mergeCell ref="A25:C25"/>
    <mergeCell ref="D25:L25"/>
    <mergeCell ref="A26:K26"/>
    <mergeCell ref="A27:C27"/>
    <mergeCell ref="D27:L27"/>
    <mergeCell ref="A28:K28"/>
    <mergeCell ref="A29:C29"/>
    <mergeCell ref="D29:L29"/>
    <mergeCell ref="A30:K30"/>
    <mergeCell ref="A31:C31"/>
    <mergeCell ref="D31:L31"/>
    <mergeCell ref="A32:K32"/>
    <mergeCell ref="A33:C33"/>
    <mergeCell ref="D33:L33"/>
    <mergeCell ref="A34:K34"/>
    <mergeCell ref="A35:C35"/>
    <mergeCell ref="D35:L35"/>
    <mergeCell ref="A42:K42"/>
    <mergeCell ref="A40:K40"/>
    <mergeCell ref="A41:C41"/>
    <mergeCell ref="D41:L41"/>
    <mergeCell ref="A36:K36"/>
    <mergeCell ref="A37:C37"/>
    <mergeCell ref="D37:L37"/>
    <mergeCell ref="A38:K38"/>
    <mergeCell ref="A39:C39"/>
    <mergeCell ref="D39:L39"/>
  </mergeCells>
  <pageMargins left="0.78740157499999996" right="0.78740157499999996" top="0.984251969" bottom="0.984251969"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99"/>
  </sheetPr>
  <dimension ref="A1:M114"/>
  <sheetViews>
    <sheetView workbookViewId="0">
      <pane xSplit="1" ySplit="2" topLeftCell="B3" activePane="bottomRight" state="frozen"/>
      <selection pane="topRight" activeCell="B1" sqref="B1"/>
      <selection pane="bottomLeft" activeCell="A3" sqref="A3"/>
      <selection pane="bottomRight" activeCell="C114" sqref="C114"/>
    </sheetView>
  </sheetViews>
  <sheetFormatPr baseColWidth="10" defaultColWidth="11.453125" defaultRowHeight="14.5" x14ac:dyDescent="0.35"/>
  <cols>
    <col min="1" max="1" width="20" style="46" bestFit="1" customWidth="1"/>
    <col min="2" max="6" width="11.453125" style="89"/>
    <col min="7" max="10" width="17" style="89" customWidth="1"/>
    <col min="11" max="12" width="18.1796875" style="89" customWidth="1"/>
    <col min="13" max="13" width="16" style="89" customWidth="1"/>
  </cols>
  <sheetData>
    <row r="1" spans="1:13" x14ac:dyDescent="0.35">
      <c r="A1" s="257" t="s">
        <v>211</v>
      </c>
      <c r="B1" s="321" t="s">
        <v>554</v>
      </c>
      <c r="C1" s="321" t="s">
        <v>554</v>
      </c>
      <c r="D1" s="321" t="s">
        <v>554</v>
      </c>
      <c r="E1" s="321" t="s">
        <v>554</v>
      </c>
      <c r="F1" s="321" t="s">
        <v>554</v>
      </c>
      <c r="G1" s="321" t="s">
        <v>554</v>
      </c>
      <c r="H1" s="321" t="s">
        <v>554</v>
      </c>
      <c r="I1" s="321" t="s">
        <v>554</v>
      </c>
      <c r="J1" s="321" t="s">
        <v>554</v>
      </c>
      <c r="K1" s="321" t="s">
        <v>554</v>
      </c>
      <c r="L1" s="321" t="s">
        <v>554</v>
      </c>
      <c r="M1" s="321" t="s">
        <v>554</v>
      </c>
    </row>
    <row r="2" spans="1:13" ht="58" x14ac:dyDescent="0.35">
      <c r="A2" s="257"/>
      <c r="B2" s="329" t="s">
        <v>679</v>
      </c>
      <c r="C2" s="330" t="s">
        <v>678</v>
      </c>
      <c r="D2" s="330" t="s">
        <v>569</v>
      </c>
      <c r="E2" s="330" t="s">
        <v>570</v>
      </c>
      <c r="F2" s="330" t="s">
        <v>571</v>
      </c>
      <c r="G2" s="331" t="s">
        <v>572</v>
      </c>
      <c r="H2" s="331" t="s">
        <v>574</v>
      </c>
      <c r="I2" s="331" t="s">
        <v>575</v>
      </c>
      <c r="J2" s="331" t="s">
        <v>576</v>
      </c>
      <c r="K2" s="332" t="s">
        <v>681</v>
      </c>
      <c r="L2" s="332" t="s">
        <v>573</v>
      </c>
      <c r="M2" s="332" t="s">
        <v>577</v>
      </c>
    </row>
    <row r="3" spans="1:13" x14ac:dyDescent="0.35">
      <c r="A3" s="257"/>
      <c r="B3" s="326"/>
      <c r="C3" s="326"/>
      <c r="D3" s="326"/>
      <c r="E3" s="326"/>
      <c r="F3" s="326"/>
      <c r="G3" s="326"/>
      <c r="H3" s="326"/>
      <c r="I3" s="326"/>
      <c r="J3" s="326"/>
      <c r="K3" s="326"/>
      <c r="L3" s="326"/>
      <c r="M3" s="326"/>
    </row>
    <row r="4" spans="1:13" x14ac:dyDescent="0.35">
      <c r="A4" s="239" t="s">
        <v>207</v>
      </c>
      <c r="B4" s="318" t="e">
        <f>Mellomregninger!O4</f>
        <v>#VALUE!</v>
      </c>
      <c r="C4" s="333" t="str">
        <f>Mellomregninger!J4</f>
        <v/>
      </c>
      <c r="D4" s="318" t="e">
        <f>Mellomregninger!BB4</f>
        <v>#VALUE!</v>
      </c>
      <c r="E4" s="318" t="e">
        <f>Mellomregninger!BN4</f>
        <v>#VALUE!</v>
      </c>
      <c r="F4" s="318" t="e">
        <f>Mellomregninger!BZ4</f>
        <v>#VALUE!</v>
      </c>
      <c r="G4" s="328" t="e">
        <f>C4/Stoff!$F4</f>
        <v>#VALUE!</v>
      </c>
      <c r="H4" s="328" t="e">
        <f>D4/Stoff!$F4</f>
        <v>#VALUE!</v>
      </c>
      <c r="I4" s="328" t="e">
        <f>E4/Stoff!$F4</f>
        <v>#VALUE!</v>
      </c>
      <c r="J4" s="328" t="e">
        <f>F4/Stoff!$F4</f>
        <v>#VALUE!</v>
      </c>
      <c r="K4" s="328" t="e">
        <f>IF(L4=Mellomregninger!AD4,Mellomregninger!V4,Mellomregninger!AH4)</f>
        <v>#VALUE!</v>
      </c>
      <c r="L4" s="320" t="e">
        <f>IF(ISNUMBER(Mellomregninger!AP4),IF(Mellomregninger!AP4&gt;Mellomregninger!AD4,Mellomregninger!AP4,Mellomregninger!AD4),Mellomregninger!AD4)</f>
        <v>#VALUE!</v>
      </c>
      <c r="M4" s="328" t="e">
        <f>L4/Stoff!$F4</f>
        <v>#VALUE!</v>
      </c>
    </row>
    <row r="5" spans="1:13" x14ac:dyDescent="0.35">
      <c r="A5" s="239" t="s">
        <v>206</v>
      </c>
      <c r="B5" s="318" t="e">
        <f>Mellomregninger!O5</f>
        <v>#VALUE!</v>
      </c>
      <c r="C5" s="333" t="str">
        <f>Mellomregninger!J5</f>
        <v/>
      </c>
      <c r="D5" s="318" t="e">
        <f>Mellomregninger!BB5</f>
        <v>#VALUE!</v>
      </c>
      <c r="E5" s="318" t="e">
        <f>Mellomregninger!BN5</f>
        <v>#VALUE!</v>
      </c>
      <c r="F5" s="318" t="e">
        <f>Mellomregninger!BZ5</f>
        <v>#VALUE!</v>
      </c>
      <c r="G5" s="328" t="e">
        <f>C5/Stoff!$F5</f>
        <v>#VALUE!</v>
      </c>
      <c r="H5" s="328" t="e">
        <f>D5/Stoff!$F5</f>
        <v>#VALUE!</v>
      </c>
      <c r="I5" s="328" t="e">
        <f>E5/Stoff!$F5</f>
        <v>#VALUE!</v>
      </c>
      <c r="J5" s="328" t="e">
        <f>F5/Stoff!$F5</f>
        <v>#VALUE!</v>
      </c>
      <c r="K5" s="328" t="e">
        <f>IF(L5=Mellomregninger!AD5,Mellomregninger!V5,Mellomregninger!AH5)</f>
        <v>#VALUE!</v>
      </c>
      <c r="L5" s="320" t="e">
        <f>IF(ISNUMBER(Mellomregninger!AP5),IF(Mellomregninger!AP5&gt;Mellomregninger!AD5,Mellomregninger!AP5,Mellomregninger!AD5),Mellomregninger!AD5)</f>
        <v>#VALUE!</v>
      </c>
      <c r="M5" s="328" t="e">
        <f>L5/Stoff!$F5</f>
        <v>#VALUE!</v>
      </c>
    </row>
    <row r="6" spans="1:13" x14ac:dyDescent="0.35">
      <c r="A6" s="239" t="s">
        <v>205</v>
      </c>
      <c r="B6" s="318" t="e">
        <f>Mellomregninger!O6</f>
        <v>#VALUE!</v>
      </c>
      <c r="C6" s="333" t="str">
        <f>Mellomregninger!J6</f>
        <v/>
      </c>
      <c r="D6" s="318" t="e">
        <f>Mellomregninger!BB6</f>
        <v>#VALUE!</v>
      </c>
      <c r="E6" s="318" t="e">
        <f>Mellomregninger!BN6</f>
        <v>#VALUE!</v>
      </c>
      <c r="F6" s="318" t="e">
        <f>Mellomregninger!BZ6</f>
        <v>#VALUE!</v>
      </c>
      <c r="G6" s="328" t="e">
        <f>C6/Stoff!$F6</f>
        <v>#VALUE!</v>
      </c>
      <c r="H6" s="328" t="e">
        <f>D6/Stoff!$F6</f>
        <v>#VALUE!</v>
      </c>
      <c r="I6" s="328" t="e">
        <f>E6/Stoff!$F6</f>
        <v>#VALUE!</v>
      </c>
      <c r="J6" s="328" t="e">
        <f>F6/Stoff!$F6</f>
        <v>#VALUE!</v>
      </c>
      <c r="K6" s="328" t="e">
        <f>IF(L6=Mellomregninger!AD6,Mellomregninger!V6,Mellomregninger!AH6)</f>
        <v>#VALUE!</v>
      </c>
      <c r="L6" s="320" t="e">
        <f>IF(ISNUMBER(Mellomregninger!AP6),IF(Mellomregninger!AP6&gt;Mellomregninger!AD6,Mellomregninger!AP6,Mellomregninger!AD6),Mellomregninger!AD6)</f>
        <v>#VALUE!</v>
      </c>
      <c r="M6" s="328" t="e">
        <f>L6/Stoff!$F6</f>
        <v>#VALUE!</v>
      </c>
    </row>
    <row r="7" spans="1:13" x14ac:dyDescent="0.35">
      <c r="A7" s="239" t="s">
        <v>204</v>
      </c>
      <c r="B7" s="318" t="e">
        <f>Mellomregninger!O7</f>
        <v>#VALUE!</v>
      </c>
      <c r="C7" s="333" t="str">
        <f>Mellomregninger!J7</f>
        <v/>
      </c>
      <c r="D7" s="318" t="e">
        <f>Mellomregninger!BB7</f>
        <v>#VALUE!</v>
      </c>
      <c r="E7" s="318" t="e">
        <f>Mellomregninger!BN7</f>
        <v>#VALUE!</v>
      </c>
      <c r="F7" s="318" t="e">
        <f>Mellomregninger!BZ7</f>
        <v>#VALUE!</v>
      </c>
      <c r="G7" s="328" t="e">
        <f>C7/Stoff!$F7</f>
        <v>#VALUE!</v>
      </c>
      <c r="H7" s="328" t="e">
        <f>D7/Stoff!$F7</f>
        <v>#VALUE!</v>
      </c>
      <c r="I7" s="328" t="e">
        <f>E7/Stoff!$F7</f>
        <v>#VALUE!</v>
      </c>
      <c r="J7" s="328" t="e">
        <f>F7/Stoff!$F7</f>
        <v>#VALUE!</v>
      </c>
      <c r="K7" s="328" t="e">
        <f>IF(L7=Mellomregninger!AD7,Mellomregninger!V7,Mellomregninger!AH7)</f>
        <v>#VALUE!</v>
      </c>
      <c r="L7" s="320" t="e">
        <f>IF(ISNUMBER(Mellomregninger!AP7),IF(Mellomregninger!AP7&gt;Mellomregninger!AD7,Mellomregninger!AP7,Mellomregninger!AD7),Mellomregninger!AD7)</f>
        <v>#VALUE!</v>
      </c>
      <c r="M7" s="328" t="e">
        <f>L7/Stoff!$F7</f>
        <v>#VALUE!</v>
      </c>
    </row>
    <row r="8" spans="1:13" x14ac:dyDescent="0.35">
      <c r="A8" s="239" t="s">
        <v>203</v>
      </c>
      <c r="B8" s="318" t="e">
        <f>Mellomregninger!O8</f>
        <v>#VALUE!</v>
      </c>
      <c r="C8" s="333" t="str">
        <f>Mellomregninger!J8</f>
        <v/>
      </c>
      <c r="D8" s="318" t="e">
        <f>Mellomregninger!BB8</f>
        <v>#VALUE!</v>
      </c>
      <c r="E8" s="318" t="e">
        <f>Mellomregninger!BN8</f>
        <v>#VALUE!</v>
      </c>
      <c r="F8" s="318" t="e">
        <f>Mellomregninger!BZ8</f>
        <v>#VALUE!</v>
      </c>
      <c r="G8" s="328" t="e">
        <f>C8/Stoff!$F8</f>
        <v>#VALUE!</v>
      </c>
      <c r="H8" s="328" t="e">
        <f>D8/Stoff!$F8</f>
        <v>#VALUE!</v>
      </c>
      <c r="I8" s="328" t="e">
        <f>E8/Stoff!$F8</f>
        <v>#VALUE!</v>
      </c>
      <c r="J8" s="328" t="e">
        <f>F8/Stoff!$F8</f>
        <v>#VALUE!</v>
      </c>
      <c r="K8" s="328" t="e">
        <f>IF(L8=Mellomregninger!AD8,Mellomregninger!V8,Mellomregninger!AH8)</f>
        <v>#VALUE!</v>
      </c>
      <c r="L8" s="320" t="e">
        <f>IF(ISNUMBER(Mellomregninger!AP8),IF(Mellomregninger!AP8&gt;Mellomregninger!AD8,Mellomregninger!AP8,Mellomregninger!AD8),Mellomregninger!AD8)</f>
        <v>#VALUE!</v>
      </c>
      <c r="M8" s="328" t="e">
        <f>L8/Stoff!$F8</f>
        <v>#VALUE!</v>
      </c>
    </row>
    <row r="9" spans="1:13" x14ac:dyDescent="0.35">
      <c r="A9" s="239" t="s">
        <v>202</v>
      </c>
      <c r="B9" s="318" t="e">
        <f>Mellomregninger!O9</f>
        <v>#VALUE!</v>
      </c>
      <c r="C9" s="333" t="str">
        <f>Mellomregninger!J9</f>
        <v/>
      </c>
      <c r="D9" s="318" t="e">
        <f>Mellomregninger!BB9</f>
        <v>#VALUE!</v>
      </c>
      <c r="E9" s="318" t="e">
        <f>Mellomregninger!BN9</f>
        <v>#VALUE!</v>
      </c>
      <c r="F9" s="318" t="e">
        <f>Mellomregninger!BZ9</f>
        <v>#VALUE!</v>
      </c>
      <c r="G9" s="328" t="e">
        <f>C9/Stoff!$F9</f>
        <v>#VALUE!</v>
      </c>
      <c r="H9" s="328" t="e">
        <f>D9/Stoff!$F9</f>
        <v>#VALUE!</v>
      </c>
      <c r="I9" s="328" t="e">
        <f>E9/Stoff!$F9</f>
        <v>#VALUE!</v>
      </c>
      <c r="J9" s="328" t="e">
        <f>F9/Stoff!$F9</f>
        <v>#VALUE!</v>
      </c>
      <c r="K9" s="328" t="e">
        <f>IF(L9=Mellomregninger!AD9,Mellomregninger!V9,Mellomregninger!AH9)</f>
        <v>#VALUE!</v>
      </c>
      <c r="L9" s="320" t="e">
        <f>IF(ISNUMBER(Mellomregninger!AP9),IF(Mellomregninger!AP9&gt;Mellomregninger!AD9,Mellomregninger!AP9,Mellomregninger!AD9),Mellomregninger!AD9)</f>
        <v>#VALUE!</v>
      </c>
      <c r="M9" s="328" t="e">
        <f>L9/Stoff!$F9</f>
        <v>#VALUE!</v>
      </c>
    </row>
    <row r="10" spans="1:13" x14ac:dyDescent="0.35">
      <c r="A10" s="239" t="s">
        <v>201</v>
      </c>
      <c r="B10" s="318" t="e">
        <f>Mellomregninger!O10</f>
        <v>#VALUE!</v>
      </c>
      <c r="C10" s="333" t="str">
        <f>Mellomregninger!J10</f>
        <v/>
      </c>
      <c r="D10" s="318" t="e">
        <f>Mellomregninger!BB10</f>
        <v>#VALUE!</v>
      </c>
      <c r="E10" s="318" t="e">
        <f>Mellomregninger!BN10</f>
        <v>#VALUE!</v>
      </c>
      <c r="F10" s="318" t="e">
        <f>Mellomregninger!BZ10</f>
        <v>#VALUE!</v>
      </c>
      <c r="G10" s="328" t="e">
        <f>C10/Stoff!$F10</f>
        <v>#VALUE!</v>
      </c>
      <c r="H10" s="328" t="e">
        <f>D10/Stoff!$F10</f>
        <v>#VALUE!</v>
      </c>
      <c r="I10" s="328" t="e">
        <f>E10/Stoff!$F10</f>
        <v>#VALUE!</v>
      </c>
      <c r="J10" s="328" t="e">
        <f>F10/Stoff!$F10</f>
        <v>#VALUE!</v>
      </c>
      <c r="K10" s="328" t="e">
        <f>IF(L10=Mellomregninger!AD10,Mellomregninger!V10,Mellomregninger!AH10)</f>
        <v>#VALUE!</v>
      </c>
      <c r="L10" s="320" t="e">
        <f>IF(ISNUMBER(Mellomregninger!AP10),IF(Mellomregninger!AP10&gt;Mellomregninger!AD10,Mellomregninger!AP10,Mellomregninger!AD10),Mellomregninger!AD10)</f>
        <v>#VALUE!</v>
      </c>
      <c r="M10" s="328" t="e">
        <f>L10/Stoff!$F10</f>
        <v>#VALUE!</v>
      </c>
    </row>
    <row r="11" spans="1:13" x14ac:dyDescent="0.35">
      <c r="A11" s="239" t="s">
        <v>200</v>
      </c>
      <c r="B11" s="318" t="e">
        <f>Mellomregninger!O11</f>
        <v>#VALUE!</v>
      </c>
      <c r="C11" s="333" t="str">
        <f>Mellomregninger!J11</f>
        <v/>
      </c>
      <c r="D11" s="318" t="e">
        <f>Mellomregninger!BB11</f>
        <v>#VALUE!</v>
      </c>
      <c r="E11" s="318" t="e">
        <f>Mellomregninger!BN11</f>
        <v>#VALUE!</v>
      </c>
      <c r="F11" s="318" t="e">
        <f>Mellomregninger!BZ11</f>
        <v>#VALUE!</v>
      </c>
      <c r="G11" s="328" t="e">
        <f>C11/Stoff!$F11</f>
        <v>#VALUE!</v>
      </c>
      <c r="H11" s="328" t="e">
        <f>D11/Stoff!$F11</f>
        <v>#VALUE!</v>
      </c>
      <c r="I11" s="328" t="e">
        <f>E11/Stoff!$F11</f>
        <v>#VALUE!</v>
      </c>
      <c r="J11" s="328" t="e">
        <f>F11/Stoff!$F11</f>
        <v>#VALUE!</v>
      </c>
      <c r="K11" s="328" t="e">
        <f>IF(L11=Mellomregninger!AD11,Mellomregninger!V11,Mellomregninger!AH11)</f>
        <v>#VALUE!</v>
      </c>
      <c r="L11" s="320" t="e">
        <f>IF(ISNUMBER(Mellomregninger!AP11),IF(Mellomregninger!AP11&gt;Mellomregninger!AD11,Mellomregninger!AP11,Mellomregninger!AD11),Mellomregninger!AD11)</f>
        <v>#VALUE!</v>
      </c>
      <c r="M11" s="328" t="e">
        <f>L11/Stoff!$F11</f>
        <v>#VALUE!</v>
      </c>
    </row>
    <row r="12" spans="1:13" x14ac:dyDescent="0.35">
      <c r="A12" s="239" t="s">
        <v>199</v>
      </c>
      <c r="B12" s="318" t="e">
        <f>Mellomregninger!O12</f>
        <v>#VALUE!</v>
      </c>
      <c r="C12" s="333" t="str">
        <f>Mellomregninger!J12</f>
        <v/>
      </c>
      <c r="D12" s="318" t="e">
        <f>Mellomregninger!BB12</f>
        <v>#VALUE!</v>
      </c>
      <c r="E12" s="318" t="e">
        <f>Mellomregninger!BN12</f>
        <v>#VALUE!</v>
      </c>
      <c r="F12" s="318" t="e">
        <f>Mellomregninger!BZ12</f>
        <v>#VALUE!</v>
      </c>
      <c r="G12" s="328" t="e">
        <f>C12/Stoff!$F12</f>
        <v>#VALUE!</v>
      </c>
      <c r="H12" s="328" t="e">
        <f>D12/Stoff!$F12</f>
        <v>#VALUE!</v>
      </c>
      <c r="I12" s="328" t="e">
        <f>E12/Stoff!$F12</f>
        <v>#VALUE!</v>
      </c>
      <c r="J12" s="328" t="e">
        <f>F12/Stoff!$F12</f>
        <v>#VALUE!</v>
      </c>
      <c r="K12" s="328" t="e">
        <f>IF(L12=Mellomregninger!AD12,Mellomregninger!V12,Mellomregninger!AH12)</f>
        <v>#VALUE!</v>
      </c>
      <c r="L12" s="320" t="e">
        <f>IF(ISNUMBER(Mellomregninger!AP12),IF(Mellomregninger!AP12&gt;Mellomregninger!AD12,Mellomregninger!AP12,Mellomregninger!AD12),Mellomregninger!AD12)</f>
        <v>#VALUE!</v>
      </c>
      <c r="M12" s="328" t="e">
        <f>L12/Stoff!$F12</f>
        <v>#VALUE!</v>
      </c>
    </row>
    <row r="13" spans="1:13" x14ac:dyDescent="0.35">
      <c r="A13" s="239" t="s">
        <v>198</v>
      </c>
      <c r="B13" s="318" t="e">
        <f>Mellomregninger!O13</f>
        <v>#VALUE!</v>
      </c>
      <c r="C13" s="333" t="str">
        <f>Mellomregninger!J13</f>
        <v/>
      </c>
      <c r="D13" s="318" t="e">
        <f>Mellomregninger!BB13</f>
        <v>#VALUE!</v>
      </c>
      <c r="E13" s="318" t="e">
        <f>Mellomregninger!BN13</f>
        <v>#VALUE!</v>
      </c>
      <c r="F13" s="318" t="e">
        <f>Mellomregninger!BZ13</f>
        <v>#VALUE!</v>
      </c>
      <c r="G13" s="328" t="e">
        <f>C13/Stoff!$F13</f>
        <v>#VALUE!</v>
      </c>
      <c r="H13" s="328" t="e">
        <f>D13/Stoff!$F13</f>
        <v>#VALUE!</v>
      </c>
      <c r="I13" s="328" t="e">
        <f>E13/Stoff!$F13</f>
        <v>#VALUE!</v>
      </c>
      <c r="J13" s="328" t="e">
        <f>F13/Stoff!$F13</f>
        <v>#VALUE!</v>
      </c>
      <c r="K13" s="328" t="e">
        <f>IF(L13=Mellomregninger!AD13,Mellomregninger!V13,Mellomregninger!AH13)</f>
        <v>#VALUE!</v>
      </c>
      <c r="L13" s="320" t="e">
        <f>IF(ISNUMBER(Mellomregninger!AP13),IF(Mellomregninger!AP13&gt;Mellomregninger!AD13,Mellomregninger!AP13,Mellomregninger!AD13),Mellomregninger!AD13)</f>
        <v>#VALUE!</v>
      </c>
      <c r="M13" s="328" t="e">
        <f>L13/Stoff!$F13</f>
        <v>#VALUE!</v>
      </c>
    </row>
    <row r="14" spans="1:13" x14ac:dyDescent="0.35">
      <c r="A14" s="239" t="s">
        <v>197</v>
      </c>
      <c r="B14" s="318" t="e">
        <f>Mellomregninger!O14</f>
        <v>#VALUE!</v>
      </c>
      <c r="C14" s="333" t="str">
        <f>Mellomregninger!J14</f>
        <v/>
      </c>
      <c r="D14" s="318" t="e">
        <f>Mellomregninger!BB14</f>
        <v>#VALUE!</v>
      </c>
      <c r="E14" s="318" t="e">
        <f>Mellomregninger!BN14</f>
        <v>#VALUE!</v>
      </c>
      <c r="F14" s="318" t="e">
        <f>Mellomregninger!BZ14</f>
        <v>#VALUE!</v>
      </c>
      <c r="G14" s="328" t="e">
        <f>C14/Stoff!$F14</f>
        <v>#VALUE!</v>
      </c>
      <c r="H14" s="328" t="e">
        <f>D14/Stoff!$F14</f>
        <v>#VALUE!</v>
      </c>
      <c r="I14" s="328" t="e">
        <f>E14/Stoff!$F14</f>
        <v>#VALUE!</v>
      </c>
      <c r="J14" s="328" t="e">
        <f>F14/Stoff!$F14</f>
        <v>#VALUE!</v>
      </c>
      <c r="K14" s="328" t="e">
        <f>IF(L14=Mellomregninger!AD14,Mellomregninger!V14,Mellomregninger!AH14)</f>
        <v>#VALUE!</v>
      </c>
      <c r="L14" s="320" t="e">
        <f>IF(ISNUMBER(Mellomregninger!AP14),IF(Mellomregninger!AP14&gt;Mellomregninger!AD14,Mellomregninger!AP14,Mellomregninger!AD14),Mellomregninger!AD14)</f>
        <v>#VALUE!</v>
      </c>
      <c r="M14" s="328" t="e">
        <f>L14/Stoff!$F14</f>
        <v>#VALUE!</v>
      </c>
    </row>
    <row r="15" spans="1:13" x14ac:dyDescent="0.35">
      <c r="A15" s="239" t="s">
        <v>195</v>
      </c>
      <c r="B15" s="318" t="e">
        <f>Mellomregninger!O15</f>
        <v>#VALUE!</v>
      </c>
      <c r="C15" s="333" t="str">
        <f>Mellomregninger!J15</f>
        <v/>
      </c>
      <c r="D15" s="318" t="e">
        <f>Mellomregninger!BB15</f>
        <v>#VALUE!</v>
      </c>
      <c r="E15" s="318" t="e">
        <f>Mellomregninger!BN15</f>
        <v>#VALUE!</v>
      </c>
      <c r="F15" s="318" t="e">
        <f>Mellomregninger!BZ15</f>
        <v>#VALUE!</v>
      </c>
      <c r="G15" s="328" t="e">
        <f>C15/Stoff!$F15</f>
        <v>#VALUE!</v>
      </c>
      <c r="H15" s="328" t="e">
        <f>D15/Stoff!$F15</f>
        <v>#VALUE!</v>
      </c>
      <c r="I15" s="328" t="e">
        <f>E15/Stoff!$F15</f>
        <v>#VALUE!</v>
      </c>
      <c r="J15" s="328" t="e">
        <f>F15/Stoff!$F15</f>
        <v>#VALUE!</v>
      </c>
      <c r="K15" s="328" t="e">
        <f>IF(L15=Mellomregninger!AD15,Mellomregninger!V15,Mellomregninger!AH15)</f>
        <v>#VALUE!</v>
      </c>
      <c r="L15" s="320" t="e">
        <f>IF(ISNUMBER(Mellomregninger!AP15),IF(Mellomregninger!AP15&gt;Mellomregninger!AD15,Mellomregninger!AP15,Mellomregninger!AD15),Mellomregninger!AD15)</f>
        <v>#VALUE!</v>
      </c>
      <c r="M15" s="328" t="e">
        <f>L15/Stoff!$F15</f>
        <v>#VALUE!</v>
      </c>
    </row>
    <row r="16" spans="1:13" x14ac:dyDescent="0.35">
      <c r="A16" s="239" t="s">
        <v>194</v>
      </c>
      <c r="B16" s="318" t="e">
        <f>Mellomregninger!O16</f>
        <v>#VALUE!</v>
      </c>
      <c r="C16" s="333" t="str">
        <f>Mellomregninger!J16</f>
        <v/>
      </c>
      <c r="D16" s="318" t="e">
        <f>Mellomregninger!BB16</f>
        <v>#VALUE!</v>
      </c>
      <c r="E16" s="318" t="e">
        <f>Mellomregninger!BN16</f>
        <v>#VALUE!</v>
      </c>
      <c r="F16" s="318" t="e">
        <f>Mellomregninger!BZ16</f>
        <v>#VALUE!</v>
      </c>
      <c r="G16" s="328" t="e">
        <f>C16/Stoff!$F16</f>
        <v>#VALUE!</v>
      </c>
      <c r="H16" s="328" t="e">
        <f>D16/Stoff!$F16</f>
        <v>#VALUE!</v>
      </c>
      <c r="I16" s="328" t="e">
        <f>E16/Stoff!$F16</f>
        <v>#VALUE!</v>
      </c>
      <c r="J16" s="328" t="e">
        <f>F16/Stoff!$F16</f>
        <v>#VALUE!</v>
      </c>
      <c r="K16" s="328" t="e">
        <f>IF(L16=Mellomregninger!AD16,Mellomregninger!V16,Mellomregninger!AH16)</f>
        <v>#VALUE!</v>
      </c>
      <c r="L16" s="320" t="e">
        <f>IF(ISNUMBER(Mellomregninger!AP16),IF(Mellomregninger!AP16&gt;Mellomregninger!AD16,Mellomregninger!AP16,Mellomregninger!AD16),Mellomregninger!AD16)</f>
        <v>#VALUE!</v>
      </c>
      <c r="M16" s="328" t="e">
        <f>L16/Stoff!$F16</f>
        <v>#VALUE!</v>
      </c>
    </row>
    <row r="17" spans="1:13" x14ac:dyDescent="0.35">
      <c r="A17" s="239" t="s">
        <v>193</v>
      </c>
      <c r="B17" s="318" t="e">
        <f>Mellomregninger!O17</f>
        <v>#VALUE!</v>
      </c>
      <c r="C17" s="333" t="str">
        <f>Mellomregninger!J17</f>
        <v/>
      </c>
      <c r="D17" s="318" t="e">
        <f>Mellomregninger!BB17</f>
        <v>#VALUE!</v>
      </c>
      <c r="E17" s="318" t="e">
        <f>Mellomregninger!BN17</f>
        <v>#VALUE!</v>
      </c>
      <c r="F17" s="318" t="e">
        <f>Mellomregninger!BZ17</f>
        <v>#VALUE!</v>
      </c>
      <c r="G17" s="328" t="e">
        <f>C17/Stoff!$F17</f>
        <v>#VALUE!</v>
      </c>
      <c r="H17" s="328" t="e">
        <f>D17/Stoff!$F17</f>
        <v>#VALUE!</v>
      </c>
      <c r="I17" s="328" t="e">
        <f>E17/Stoff!$F17</f>
        <v>#VALUE!</v>
      </c>
      <c r="J17" s="328" t="e">
        <f>F17/Stoff!$F17</f>
        <v>#VALUE!</v>
      </c>
      <c r="K17" s="328" t="e">
        <f>IF(L17=Mellomregninger!AD17,Mellomregninger!V17,Mellomregninger!AH17)</f>
        <v>#VALUE!</v>
      </c>
      <c r="L17" s="320" t="e">
        <f>IF(ISNUMBER(Mellomregninger!AP17),IF(Mellomregninger!AP17&gt;Mellomregninger!AD17,Mellomregninger!AP17,Mellomregninger!AD17),Mellomregninger!AD17)</f>
        <v>#VALUE!</v>
      </c>
      <c r="M17" s="328" t="e">
        <f>L17/Stoff!$F17</f>
        <v>#VALUE!</v>
      </c>
    </row>
    <row r="18" spans="1:13" x14ac:dyDescent="0.35">
      <c r="A18" s="239" t="s">
        <v>192</v>
      </c>
      <c r="B18" s="318" t="e">
        <f>Mellomregninger!O18</f>
        <v>#VALUE!</v>
      </c>
      <c r="C18" s="333" t="str">
        <f>Mellomregninger!J18</f>
        <v/>
      </c>
      <c r="D18" s="318" t="e">
        <f>Mellomregninger!BB18</f>
        <v>#VALUE!</v>
      </c>
      <c r="E18" s="318" t="e">
        <f>Mellomregninger!BN18</f>
        <v>#VALUE!</v>
      </c>
      <c r="F18" s="318" t="e">
        <f>Mellomregninger!BZ18</f>
        <v>#VALUE!</v>
      </c>
      <c r="G18" s="328" t="e">
        <f>C18/Stoff!$F18</f>
        <v>#VALUE!</v>
      </c>
      <c r="H18" s="328" t="e">
        <f>D18/Stoff!$F18</f>
        <v>#VALUE!</v>
      </c>
      <c r="I18" s="328" t="e">
        <f>E18/Stoff!$F18</f>
        <v>#VALUE!</v>
      </c>
      <c r="J18" s="328" t="e">
        <f>F18/Stoff!$F18</f>
        <v>#VALUE!</v>
      </c>
      <c r="K18" s="328" t="e">
        <f>IF(L18=Mellomregninger!AD18,Mellomregninger!V18,Mellomregninger!AH18)</f>
        <v>#VALUE!</v>
      </c>
      <c r="L18" s="320" t="e">
        <f>IF(ISNUMBER(Mellomregninger!AP18),IF(Mellomregninger!AP18&gt;Mellomregninger!AD18,Mellomregninger!AP18,Mellomregninger!AD18),Mellomregninger!AD18)</f>
        <v>#VALUE!</v>
      </c>
      <c r="M18" s="328" t="e">
        <f>L18/Stoff!$F18</f>
        <v>#VALUE!</v>
      </c>
    </row>
    <row r="19" spans="1:13" x14ac:dyDescent="0.35">
      <c r="A19" s="239" t="s">
        <v>191</v>
      </c>
      <c r="B19" s="318" t="e">
        <f>Mellomregninger!O19</f>
        <v>#VALUE!</v>
      </c>
      <c r="C19" s="333" t="str">
        <f>Mellomregninger!J19</f>
        <v/>
      </c>
      <c r="D19" s="318" t="e">
        <f>Mellomregninger!BB19</f>
        <v>#VALUE!</v>
      </c>
      <c r="E19" s="318" t="e">
        <f>Mellomregninger!BN19</f>
        <v>#VALUE!</v>
      </c>
      <c r="F19" s="318" t="e">
        <f>Mellomregninger!BZ19</f>
        <v>#VALUE!</v>
      </c>
      <c r="G19" s="328" t="e">
        <f>C19/Stoff!$F19</f>
        <v>#VALUE!</v>
      </c>
      <c r="H19" s="328" t="e">
        <f>D19/Stoff!$F19</f>
        <v>#VALUE!</v>
      </c>
      <c r="I19" s="328" t="e">
        <f>E19/Stoff!$F19</f>
        <v>#VALUE!</v>
      </c>
      <c r="J19" s="328" t="e">
        <f>F19/Stoff!$F19</f>
        <v>#VALUE!</v>
      </c>
      <c r="K19" s="328" t="e">
        <f>IF(L19=Mellomregninger!AD19,Mellomregninger!V19,Mellomregninger!AH19)</f>
        <v>#VALUE!</v>
      </c>
      <c r="L19" s="320" t="e">
        <f>IF(ISNUMBER(Mellomregninger!AP19),IF(Mellomregninger!AP19&gt;Mellomregninger!AD19,Mellomregninger!AP19,Mellomregninger!AD19),Mellomregninger!AD19)</f>
        <v>#VALUE!</v>
      </c>
      <c r="M19" s="328" t="e">
        <f>L19/Stoff!$F19</f>
        <v>#VALUE!</v>
      </c>
    </row>
    <row r="20" spans="1:13" x14ac:dyDescent="0.35">
      <c r="A20" s="239" t="s">
        <v>190</v>
      </c>
      <c r="B20" s="318" t="e">
        <f>Mellomregninger!O20</f>
        <v>#VALUE!</v>
      </c>
      <c r="C20" s="333" t="str">
        <f>Mellomregninger!J20</f>
        <v/>
      </c>
      <c r="D20" s="318" t="e">
        <f>Mellomregninger!BB20</f>
        <v>#VALUE!</v>
      </c>
      <c r="E20" s="318" t="e">
        <f>Mellomregninger!BN20</f>
        <v>#VALUE!</v>
      </c>
      <c r="F20" s="318" t="e">
        <f>Mellomregninger!BZ20</f>
        <v>#VALUE!</v>
      </c>
      <c r="G20" s="328" t="e">
        <f>C20/Stoff!$F20</f>
        <v>#VALUE!</v>
      </c>
      <c r="H20" s="328" t="e">
        <f>D20/Stoff!$F20</f>
        <v>#VALUE!</v>
      </c>
      <c r="I20" s="328" t="e">
        <f>E20/Stoff!$F20</f>
        <v>#VALUE!</v>
      </c>
      <c r="J20" s="328" t="e">
        <f>F20/Stoff!$F20</f>
        <v>#VALUE!</v>
      </c>
      <c r="K20" s="328" t="e">
        <f>IF(L20=Mellomregninger!AD20,Mellomregninger!V20,Mellomregninger!AH20)</f>
        <v>#VALUE!</v>
      </c>
      <c r="L20" s="320" t="e">
        <f>IF(ISNUMBER(Mellomregninger!AP20),IF(Mellomregninger!AP20&gt;Mellomregninger!AD20,Mellomregninger!AP20,Mellomregninger!AD20),Mellomregninger!AD20)</f>
        <v>#VALUE!</v>
      </c>
      <c r="M20" s="328" t="e">
        <f>L20/Stoff!$F20</f>
        <v>#VALUE!</v>
      </c>
    </row>
    <row r="21" spans="1:13" x14ac:dyDescent="0.35">
      <c r="A21" s="239" t="s">
        <v>189</v>
      </c>
      <c r="B21" s="318" t="e">
        <f>Mellomregninger!O21</f>
        <v>#VALUE!</v>
      </c>
      <c r="C21" s="333" t="str">
        <f>Mellomregninger!J21</f>
        <v/>
      </c>
      <c r="D21" s="318" t="e">
        <f>Mellomregninger!BB21</f>
        <v>#VALUE!</v>
      </c>
      <c r="E21" s="318" t="e">
        <f>Mellomregninger!BN21</f>
        <v>#VALUE!</v>
      </c>
      <c r="F21" s="318" t="e">
        <f>Mellomregninger!BZ21</f>
        <v>#VALUE!</v>
      </c>
      <c r="G21" s="328" t="e">
        <f>C21/Stoff!$F21</f>
        <v>#VALUE!</v>
      </c>
      <c r="H21" s="328" t="e">
        <f>D21/Stoff!$F21</f>
        <v>#VALUE!</v>
      </c>
      <c r="I21" s="328" t="e">
        <f>E21/Stoff!$F21</f>
        <v>#VALUE!</v>
      </c>
      <c r="J21" s="328" t="e">
        <f>F21/Stoff!$F21</f>
        <v>#VALUE!</v>
      </c>
      <c r="K21" s="328" t="e">
        <f>IF(L21=Mellomregninger!AD21,Mellomregninger!V21,Mellomregninger!AH21)</f>
        <v>#VALUE!</v>
      </c>
      <c r="L21" s="320" t="e">
        <f>IF(ISNUMBER(Mellomregninger!AP21),IF(Mellomregninger!AP21&gt;Mellomregninger!AD21,Mellomregninger!AP21,Mellomregninger!AD21),Mellomregninger!AD21)</f>
        <v>#VALUE!</v>
      </c>
      <c r="M21" s="328" t="e">
        <f>L21/Stoff!$F21</f>
        <v>#VALUE!</v>
      </c>
    </row>
    <row r="22" spans="1:13" x14ac:dyDescent="0.35">
      <c r="A22" s="239" t="s">
        <v>188</v>
      </c>
      <c r="B22" s="318" t="e">
        <f>Mellomregninger!O22</f>
        <v>#VALUE!</v>
      </c>
      <c r="C22" s="333" t="str">
        <f>Mellomregninger!J22</f>
        <v/>
      </c>
      <c r="D22" s="318" t="e">
        <f>Mellomregninger!BB22</f>
        <v>#VALUE!</v>
      </c>
      <c r="E22" s="318" t="e">
        <f>Mellomregninger!BN22</f>
        <v>#VALUE!</v>
      </c>
      <c r="F22" s="318" t="e">
        <f>Mellomregninger!BZ22</f>
        <v>#VALUE!</v>
      </c>
      <c r="G22" s="328" t="e">
        <f>C22/Stoff!$F22</f>
        <v>#VALUE!</v>
      </c>
      <c r="H22" s="328" t="e">
        <f>D22/Stoff!$F22</f>
        <v>#VALUE!</v>
      </c>
      <c r="I22" s="328" t="e">
        <f>E22/Stoff!$F22</f>
        <v>#VALUE!</v>
      </c>
      <c r="J22" s="328" t="e">
        <f>F22/Stoff!$F22</f>
        <v>#VALUE!</v>
      </c>
      <c r="K22" s="328" t="e">
        <f>IF(L22=Mellomregninger!AD22,Mellomregninger!V22,Mellomregninger!AH22)</f>
        <v>#VALUE!</v>
      </c>
      <c r="L22" s="320" t="e">
        <f>IF(ISNUMBER(Mellomregninger!AP22),IF(Mellomregninger!AP22&gt;Mellomregninger!AD22,Mellomregninger!AP22,Mellomregninger!AD22),Mellomregninger!AD22)</f>
        <v>#VALUE!</v>
      </c>
      <c r="M22" s="328" t="e">
        <f>L22/Stoff!$F22</f>
        <v>#VALUE!</v>
      </c>
    </row>
    <row r="23" spans="1:13" x14ac:dyDescent="0.35">
      <c r="A23" s="239" t="s">
        <v>187</v>
      </c>
      <c r="B23" s="318" t="e">
        <f>Mellomregninger!O23</f>
        <v>#VALUE!</v>
      </c>
      <c r="C23" s="333" t="str">
        <f>Mellomregninger!J23</f>
        <v/>
      </c>
      <c r="D23" s="318" t="e">
        <f>Mellomregninger!BB23</f>
        <v>#VALUE!</v>
      </c>
      <c r="E23" s="318" t="e">
        <f>Mellomregninger!BN23</f>
        <v>#VALUE!</v>
      </c>
      <c r="F23" s="318" t="e">
        <f>Mellomregninger!BZ23</f>
        <v>#VALUE!</v>
      </c>
      <c r="G23" s="328" t="e">
        <f>C23/Stoff!$F23</f>
        <v>#VALUE!</v>
      </c>
      <c r="H23" s="328" t="e">
        <f>D23/Stoff!$F23</f>
        <v>#VALUE!</v>
      </c>
      <c r="I23" s="328" t="e">
        <f>E23/Stoff!$F23</f>
        <v>#VALUE!</v>
      </c>
      <c r="J23" s="328" t="e">
        <f>F23/Stoff!$F23</f>
        <v>#VALUE!</v>
      </c>
      <c r="K23" s="328" t="e">
        <f>IF(L23=Mellomregninger!AD23,Mellomregninger!V23,Mellomregninger!AH23)</f>
        <v>#VALUE!</v>
      </c>
      <c r="L23" s="320" t="e">
        <f>IF(ISNUMBER(Mellomregninger!AP23),IF(Mellomregninger!AP23&gt;Mellomregninger!AD23,Mellomregninger!AP23,Mellomregninger!AD23),Mellomregninger!AD23)</f>
        <v>#VALUE!</v>
      </c>
      <c r="M23" s="328" t="e">
        <f>L23/Stoff!$F23</f>
        <v>#VALUE!</v>
      </c>
    </row>
    <row r="24" spans="1:13" x14ac:dyDescent="0.35">
      <c r="A24" s="239" t="s">
        <v>186</v>
      </c>
      <c r="B24" s="318" t="e">
        <f>Mellomregninger!O24</f>
        <v>#VALUE!</v>
      </c>
      <c r="C24" s="333" t="str">
        <f>Mellomregninger!J24</f>
        <v/>
      </c>
      <c r="D24" s="318" t="e">
        <f>Mellomregninger!BB24</f>
        <v>#VALUE!</v>
      </c>
      <c r="E24" s="318" t="e">
        <f>Mellomregninger!BN24</f>
        <v>#VALUE!</v>
      </c>
      <c r="F24" s="318" t="e">
        <f>Mellomregninger!BZ24</f>
        <v>#VALUE!</v>
      </c>
      <c r="G24" s="328" t="e">
        <f>C24/Stoff!$F24</f>
        <v>#VALUE!</v>
      </c>
      <c r="H24" s="328" t="e">
        <f>D24/Stoff!$F24</f>
        <v>#VALUE!</v>
      </c>
      <c r="I24" s="328" t="e">
        <f>E24/Stoff!$F24</f>
        <v>#VALUE!</v>
      </c>
      <c r="J24" s="328" t="e">
        <f>F24/Stoff!$F24</f>
        <v>#VALUE!</v>
      </c>
      <c r="K24" s="328" t="e">
        <f>IF(L24=Mellomregninger!AD24,Mellomregninger!V24,Mellomregninger!AH24)</f>
        <v>#VALUE!</v>
      </c>
      <c r="L24" s="320" t="e">
        <f>IF(ISNUMBER(Mellomregninger!AP24),IF(Mellomregninger!AP24&gt;Mellomregninger!AD24,Mellomregninger!AP24,Mellomregninger!AD24),Mellomregninger!AD24)</f>
        <v>#VALUE!</v>
      </c>
      <c r="M24" s="328" t="e">
        <f>L24/Stoff!$F24</f>
        <v>#VALUE!</v>
      </c>
    </row>
    <row r="25" spans="1:13" x14ac:dyDescent="0.35">
      <c r="A25" s="239" t="s">
        <v>185</v>
      </c>
      <c r="B25" s="318" t="e">
        <f>Mellomregninger!O25</f>
        <v>#VALUE!</v>
      </c>
      <c r="C25" s="333" t="str">
        <f>Mellomregninger!J25</f>
        <v/>
      </c>
      <c r="D25" s="318" t="e">
        <f>Mellomregninger!BB25</f>
        <v>#VALUE!</v>
      </c>
      <c r="E25" s="318" t="e">
        <f>Mellomregninger!BN25</f>
        <v>#VALUE!</v>
      </c>
      <c r="F25" s="318" t="e">
        <f>Mellomregninger!BZ25</f>
        <v>#VALUE!</v>
      </c>
      <c r="G25" s="328" t="e">
        <f>C25/Stoff!$F25</f>
        <v>#VALUE!</v>
      </c>
      <c r="H25" s="328" t="e">
        <f>D25/Stoff!$F25</f>
        <v>#VALUE!</v>
      </c>
      <c r="I25" s="328" t="e">
        <f>E25/Stoff!$F25</f>
        <v>#VALUE!</v>
      </c>
      <c r="J25" s="328" t="e">
        <f>F25/Stoff!$F25</f>
        <v>#VALUE!</v>
      </c>
      <c r="K25" s="328" t="e">
        <f>IF(L25=Mellomregninger!AD25,Mellomregninger!V25,Mellomregninger!AH25)</f>
        <v>#VALUE!</v>
      </c>
      <c r="L25" s="320" t="e">
        <f>IF(ISNUMBER(Mellomregninger!AP25),IF(Mellomregninger!AP25&gt;Mellomregninger!AD25,Mellomregninger!AP25,Mellomregninger!AD25),Mellomregninger!AD25)</f>
        <v>#VALUE!</v>
      </c>
      <c r="M25" s="328" t="e">
        <f>L25/Stoff!$F25</f>
        <v>#VALUE!</v>
      </c>
    </row>
    <row r="26" spans="1:13" x14ac:dyDescent="0.35">
      <c r="A26" s="239" t="s">
        <v>184</v>
      </c>
      <c r="B26" s="318" t="e">
        <f>Mellomregninger!O26</f>
        <v>#VALUE!</v>
      </c>
      <c r="C26" s="333" t="str">
        <f>Mellomregninger!J26</f>
        <v/>
      </c>
      <c r="D26" s="318" t="e">
        <f>Mellomregninger!BB26</f>
        <v>#VALUE!</v>
      </c>
      <c r="E26" s="318" t="e">
        <f>Mellomregninger!BN26</f>
        <v>#VALUE!</v>
      </c>
      <c r="F26" s="318" t="e">
        <f>Mellomregninger!BZ26</f>
        <v>#VALUE!</v>
      </c>
      <c r="G26" s="328" t="e">
        <f>C26/Stoff!$F26</f>
        <v>#VALUE!</v>
      </c>
      <c r="H26" s="328" t="e">
        <f>D26/Stoff!$F26</f>
        <v>#VALUE!</v>
      </c>
      <c r="I26" s="328" t="e">
        <f>E26/Stoff!$F26</f>
        <v>#VALUE!</v>
      </c>
      <c r="J26" s="328" t="e">
        <f>F26/Stoff!$F26</f>
        <v>#VALUE!</v>
      </c>
      <c r="K26" s="328" t="e">
        <f>IF(L26=Mellomregninger!AD26,Mellomregninger!V26,Mellomregninger!AH26)</f>
        <v>#VALUE!</v>
      </c>
      <c r="L26" s="320" t="e">
        <f>IF(ISNUMBER(Mellomregninger!AP26),IF(Mellomregninger!AP26&gt;Mellomregninger!AD26,Mellomregninger!AP26,Mellomregninger!AD26),Mellomregninger!AD26)</f>
        <v>#VALUE!</v>
      </c>
      <c r="M26" s="328" t="e">
        <f>L26/Stoff!$F26</f>
        <v>#VALUE!</v>
      </c>
    </row>
    <row r="27" spans="1:13" x14ac:dyDescent="0.35">
      <c r="A27" s="239" t="s">
        <v>183</v>
      </c>
      <c r="B27" s="318" t="e">
        <f>Mellomregninger!O27</f>
        <v>#VALUE!</v>
      </c>
      <c r="C27" s="333" t="str">
        <f>Mellomregninger!J27</f>
        <v/>
      </c>
      <c r="D27" s="318" t="e">
        <f>Mellomregninger!BB27</f>
        <v>#VALUE!</v>
      </c>
      <c r="E27" s="318" t="e">
        <f>Mellomregninger!BN27</f>
        <v>#VALUE!</v>
      </c>
      <c r="F27" s="318" t="e">
        <f>Mellomregninger!BZ27</f>
        <v>#VALUE!</v>
      </c>
      <c r="G27" s="328" t="e">
        <f>C27/Stoff!$F27</f>
        <v>#VALUE!</v>
      </c>
      <c r="H27" s="328" t="e">
        <f>D27/Stoff!$F27</f>
        <v>#VALUE!</v>
      </c>
      <c r="I27" s="328" t="e">
        <f>E27/Stoff!$F27</f>
        <v>#VALUE!</v>
      </c>
      <c r="J27" s="328" t="e">
        <f>F27/Stoff!$F27</f>
        <v>#VALUE!</v>
      </c>
      <c r="K27" s="328" t="e">
        <f>IF(L27=Mellomregninger!AD27,Mellomregninger!V27,Mellomregninger!AH27)</f>
        <v>#VALUE!</v>
      </c>
      <c r="L27" s="320" t="e">
        <f>IF(ISNUMBER(Mellomregninger!AP27),IF(Mellomregninger!AP27&gt;Mellomregninger!AD27,Mellomregninger!AP27,Mellomregninger!AD27),Mellomregninger!AD27)</f>
        <v>#VALUE!</v>
      </c>
      <c r="M27" s="328" t="e">
        <f>L27/Stoff!$F27</f>
        <v>#VALUE!</v>
      </c>
    </row>
    <row r="28" spans="1:13" x14ac:dyDescent="0.35">
      <c r="A28" s="239" t="s">
        <v>182</v>
      </c>
      <c r="B28" s="318" t="e">
        <f>Mellomregninger!O28</f>
        <v>#VALUE!</v>
      </c>
      <c r="C28" s="333" t="str">
        <f>Mellomregninger!J28</f>
        <v/>
      </c>
      <c r="D28" s="318" t="e">
        <f>Mellomregninger!BB28</f>
        <v>#VALUE!</v>
      </c>
      <c r="E28" s="318" t="e">
        <f>Mellomregninger!BN28</f>
        <v>#VALUE!</v>
      </c>
      <c r="F28" s="318" t="e">
        <f>Mellomregninger!BZ28</f>
        <v>#VALUE!</v>
      </c>
      <c r="G28" s="328" t="e">
        <f>C28/Stoff!$F28</f>
        <v>#VALUE!</v>
      </c>
      <c r="H28" s="328" t="e">
        <f>D28/Stoff!$F28</f>
        <v>#VALUE!</v>
      </c>
      <c r="I28" s="328" t="e">
        <f>E28/Stoff!$F28</f>
        <v>#VALUE!</v>
      </c>
      <c r="J28" s="328" t="e">
        <f>F28/Stoff!$F28</f>
        <v>#VALUE!</v>
      </c>
      <c r="K28" s="328" t="e">
        <f>IF(L28=Mellomregninger!AD28,Mellomregninger!V28,Mellomregninger!AH28)</f>
        <v>#VALUE!</v>
      </c>
      <c r="L28" s="320" t="e">
        <f>IF(ISNUMBER(Mellomregninger!AP28),IF(Mellomregninger!AP28&gt;Mellomregninger!AD28,Mellomregninger!AP28,Mellomregninger!AD28),Mellomregninger!AD28)</f>
        <v>#VALUE!</v>
      </c>
      <c r="M28" s="328" t="e">
        <f>L28/Stoff!$F28</f>
        <v>#VALUE!</v>
      </c>
    </row>
    <row r="29" spans="1:13" x14ac:dyDescent="0.35">
      <c r="A29" s="239" t="s">
        <v>181</v>
      </c>
      <c r="B29" s="318" t="e">
        <f>Mellomregninger!O29</f>
        <v>#VALUE!</v>
      </c>
      <c r="C29" s="333" t="str">
        <f>Mellomregninger!J29</f>
        <v/>
      </c>
      <c r="D29" s="318" t="e">
        <f>Mellomregninger!BB29</f>
        <v>#VALUE!</v>
      </c>
      <c r="E29" s="318" t="e">
        <f>Mellomregninger!BN29</f>
        <v>#VALUE!</v>
      </c>
      <c r="F29" s="318" t="e">
        <f>Mellomregninger!BZ29</f>
        <v>#VALUE!</v>
      </c>
      <c r="G29" s="328" t="e">
        <f>C29/Stoff!$F29</f>
        <v>#VALUE!</v>
      </c>
      <c r="H29" s="328" t="e">
        <f>D29/Stoff!$F29</f>
        <v>#VALUE!</v>
      </c>
      <c r="I29" s="328" t="e">
        <f>E29/Stoff!$F29</f>
        <v>#VALUE!</v>
      </c>
      <c r="J29" s="328" t="e">
        <f>F29/Stoff!$F29</f>
        <v>#VALUE!</v>
      </c>
      <c r="K29" s="328" t="e">
        <f>IF(L29=Mellomregninger!AD29,Mellomregninger!V29,Mellomregninger!AH29)</f>
        <v>#VALUE!</v>
      </c>
      <c r="L29" s="320" t="e">
        <f>IF(ISNUMBER(Mellomregninger!AP29),IF(Mellomregninger!AP29&gt;Mellomregninger!AD29,Mellomregninger!AP29,Mellomregninger!AD29),Mellomregninger!AD29)</f>
        <v>#VALUE!</v>
      </c>
      <c r="M29" s="328" t="e">
        <f>L29/Stoff!$F29</f>
        <v>#VALUE!</v>
      </c>
    </row>
    <row r="30" spans="1:13" x14ac:dyDescent="0.35">
      <c r="A30" s="239" t="s">
        <v>180</v>
      </c>
      <c r="B30" s="318" t="e">
        <f>Mellomregninger!O30</f>
        <v>#VALUE!</v>
      </c>
      <c r="C30" s="333" t="str">
        <f>Mellomregninger!J30</f>
        <v/>
      </c>
      <c r="D30" s="318" t="e">
        <f>Mellomregninger!BB30</f>
        <v>#VALUE!</v>
      </c>
      <c r="E30" s="318" t="e">
        <f>Mellomregninger!BN30</f>
        <v>#VALUE!</v>
      </c>
      <c r="F30" s="318" t="e">
        <f>Mellomregninger!BZ30</f>
        <v>#VALUE!</v>
      </c>
      <c r="G30" s="328" t="e">
        <f>C30/Stoff!$F30</f>
        <v>#VALUE!</v>
      </c>
      <c r="H30" s="328" t="e">
        <f>D30/Stoff!$F30</f>
        <v>#VALUE!</v>
      </c>
      <c r="I30" s="328" t="e">
        <f>E30/Stoff!$F30</f>
        <v>#VALUE!</v>
      </c>
      <c r="J30" s="328" t="e">
        <f>F30/Stoff!$F30</f>
        <v>#VALUE!</v>
      </c>
      <c r="K30" s="328" t="e">
        <f>IF(L30=Mellomregninger!AD30,Mellomregninger!V30,Mellomregninger!AH30)</f>
        <v>#VALUE!</v>
      </c>
      <c r="L30" s="320" t="e">
        <f>IF(ISNUMBER(Mellomregninger!AP30),IF(Mellomregninger!AP30&gt;Mellomregninger!AD30,Mellomregninger!AP30,Mellomregninger!AD30),Mellomregninger!AD30)</f>
        <v>#VALUE!</v>
      </c>
      <c r="M30" s="328" t="e">
        <f>L30/Stoff!$F30</f>
        <v>#VALUE!</v>
      </c>
    </row>
    <row r="31" spans="1:13" x14ac:dyDescent="0.35">
      <c r="A31" s="239" t="s">
        <v>179</v>
      </c>
      <c r="B31" s="318" t="e">
        <f>Mellomregninger!O31</f>
        <v>#VALUE!</v>
      </c>
      <c r="C31" s="333" t="str">
        <f>Mellomregninger!J31</f>
        <v/>
      </c>
      <c r="D31" s="318" t="e">
        <f>Mellomregninger!BB31</f>
        <v>#VALUE!</v>
      </c>
      <c r="E31" s="318" t="e">
        <f>Mellomregninger!BN31</f>
        <v>#VALUE!</v>
      </c>
      <c r="F31" s="318" t="e">
        <f>Mellomregninger!BZ31</f>
        <v>#VALUE!</v>
      </c>
      <c r="G31" s="328" t="e">
        <f>C31/Stoff!$F31</f>
        <v>#VALUE!</v>
      </c>
      <c r="H31" s="328" t="e">
        <f>D31/Stoff!$F31</f>
        <v>#VALUE!</v>
      </c>
      <c r="I31" s="328" t="e">
        <f>E31/Stoff!$F31</f>
        <v>#VALUE!</v>
      </c>
      <c r="J31" s="328" t="e">
        <f>F31/Stoff!$F31</f>
        <v>#VALUE!</v>
      </c>
      <c r="K31" s="328" t="e">
        <f>IF(L31=Mellomregninger!AD31,Mellomregninger!V31,Mellomregninger!AH31)</f>
        <v>#VALUE!</v>
      </c>
      <c r="L31" s="320" t="e">
        <f>IF(ISNUMBER(Mellomregninger!AP31),IF(Mellomregninger!AP31&gt;Mellomregninger!AD31,Mellomregninger!AP31,Mellomregninger!AD31),Mellomregninger!AD31)</f>
        <v>#VALUE!</v>
      </c>
      <c r="M31" s="328" t="e">
        <f>L31/Stoff!$F31</f>
        <v>#VALUE!</v>
      </c>
    </row>
    <row r="32" spans="1:13" x14ac:dyDescent="0.35">
      <c r="A32" s="239" t="s">
        <v>178</v>
      </c>
      <c r="B32" s="318" t="e">
        <f>Mellomregninger!O32</f>
        <v>#VALUE!</v>
      </c>
      <c r="C32" s="333" t="str">
        <f>Mellomregninger!J32</f>
        <v/>
      </c>
      <c r="D32" s="318" t="e">
        <f>Mellomregninger!BB32</f>
        <v>#VALUE!</v>
      </c>
      <c r="E32" s="318" t="e">
        <f>Mellomregninger!BN32</f>
        <v>#VALUE!</v>
      </c>
      <c r="F32" s="318" t="e">
        <f>Mellomregninger!BZ32</f>
        <v>#VALUE!</v>
      </c>
      <c r="G32" s="328" t="e">
        <f>C32/Stoff!$F32</f>
        <v>#VALUE!</v>
      </c>
      <c r="H32" s="328" t="e">
        <f>D32/Stoff!$F32</f>
        <v>#VALUE!</v>
      </c>
      <c r="I32" s="328" t="e">
        <f>E32/Stoff!$F32</f>
        <v>#VALUE!</v>
      </c>
      <c r="J32" s="328" t="e">
        <f>F32/Stoff!$F32</f>
        <v>#VALUE!</v>
      </c>
      <c r="K32" s="328" t="e">
        <f>IF(L32=Mellomregninger!AD32,Mellomregninger!V32,Mellomregninger!AH32)</f>
        <v>#VALUE!</v>
      </c>
      <c r="L32" s="320" t="e">
        <f>IF(ISNUMBER(Mellomregninger!AP32),IF(Mellomregninger!AP32&gt;Mellomregninger!AD32,Mellomregninger!AP32,Mellomregninger!AD32),Mellomregninger!AD32)</f>
        <v>#VALUE!</v>
      </c>
      <c r="M32" s="328" t="e">
        <f>L32/Stoff!$F32</f>
        <v>#VALUE!</v>
      </c>
    </row>
    <row r="33" spans="1:13" x14ac:dyDescent="0.35">
      <c r="A33" s="239" t="s">
        <v>177</v>
      </c>
      <c r="B33" s="318" t="e">
        <f>Mellomregninger!O33</f>
        <v>#VALUE!</v>
      </c>
      <c r="C33" s="333" t="str">
        <f>Mellomregninger!J33</f>
        <v/>
      </c>
      <c r="D33" s="318" t="e">
        <f>Mellomregninger!BB33</f>
        <v>#VALUE!</v>
      </c>
      <c r="E33" s="318" t="e">
        <f>Mellomregninger!BN33</f>
        <v>#VALUE!</v>
      </c>
      <c r="F33" s="318" t="e">
        <f>Mellomregninger!BZ33</f>
        <v>#VALUE!</v>
      </c>
      <c r="G33" s="328" t="e">
        <f>C33/Stoff!$F33</f>
        <v>#VALUE!</v>
      </c>
      <c r="H33" s="328" t="e">
        <f>D33/Stoff!$F33</f>
        <v>#VALUE!</v>
      </c>
      <c r="I33" s="328" t="e">
        <f>E33/Stoff!$F33</f>
        <v>#VALUE!</v>
      </c>
      <c r="J33" s="328" t="e">
        <f>F33/Stoff!$F33</f>
        <v>#VALUE!</v>
      </c>
      <c r="K33" s="328" t="e">
        <f>IF(L33=Mellomregninger!AD33,Mellomregninger!V33,Mellomregninger!AH33)</f>
        <v>#VALUE!</v>
      </c>
      <c r="L33" s="320" t="e">
        <f>IF(ISNUMBER(Mellomregninger!AP33),IF(Mellomregninger!AP33&gt;Mellomregninger!AD33,Mellomregninger!AP33,Mellomregninger!AD33),Mellomregninger!AD33)</f>
        <v>#VALUE!</v>
      </c>
      <c r="M33" s="328" t="e">
        <f>L33/Stoff!$F33</f>
        <v>#VALUE!</v>
      </c>
    </row>
    <row r="34" spans="1:13" x14ac:dyDescent="0.35">
      <c r="A34" s="239" t="s">
        <v>176</v>
      </c>
      <c r="B34" s="318" t="e">
        <f>Mellomregninger!O34</f>
        <v>#VALUE!</v>
      </c>
      <c r="C34" s="333" t="str">
        <f>Mellomregninger!J34</f>
        <v/>
      </c>
      <c r="D34" s="318" t="e">
        <f>Mellomregninger!BB34</f>
        <v>#VALUE!</v>
      </c>
      <c r="E34" s="318" t="e">
        <f>Mellomregninger!BN34</f>
        <v>#VALUE!</v>
      </c>
      <c r="F34" s="318" t="e">
        <f>Mellomregninger!BZ34</f>
        <v>#VALUE!</v>
      </c>
      <c r="G34" s="328" t="e">
        <f>C34/Stoff!$F34</f>
        <v>#VALUE!</v>
      </c>
      <c r="H34" s="328" t="e">
        <f>D34/Stoff!$F34</f>
        <v>#VALUE!</v>
      </c>
      <c r="I34" s="328" t="e">
        <f>E34/Stoff!$F34</f>
        <v>#VALUE!</v>
      </c>
      <c r="J34" s="328" t="e">
        <f>F34/Stoff!$F34</f>
        <v>#VALUE!</v>
      </c>
      <c r="K34" s="328" t="e">
        <f>IF(L34=Mellomregninger!AD34,Mellomregninger!V34,Mellomregninger!AH34)</f>
        <v>#VALUE!</v>
      </c>
      <c r="L34" s="320" t="e">
        <f>IF(ISNUMBER(Mellomregninger!AP34),IF(Mellomregninger!AP34&gt;Mellomregninger!AD34,Mellomregninger!AP34,Mellomregninger!AD34),Mellomregninger!AD34)</f>
        <v>#VALUE!</v>
      </c>
      <c r="M34" s="328" t="e">
        <f>L34/Stoff!$F34</f>
        <v>#VALUE!</v>
      </c>
    </row>
    <row r="35" spans="1:13" x14ac:dyDescent="0.35">
      <c r="A35" s="239" t="s">
        <v>175</v>
      </c>
      <c r="B35" s="318" t="e">
        <f>Mellomregninger!O35</f>
        <v>#VALUE!</v>
      </c>
      <c r="C35" s="333" t="str">
        <f>Mellomregninger!J35</f>
        <v/>
      </c>
      <c r="D35" s="318" t="e">
        <f>Mellomregninger!BB35</f>
        <v>#VALUE!</v>
      </c>
      <c r="E35" s="318" t="e">
        <f>Mellomregninger!BN35</f>
        <v>#VALUE!</v>
      </c>
      <c r="F35" s="318" t="e">
        <f>Mellomregninger!BZ35</f>
        <v>#VALUE!</v>
      </c>
      <c r="G35" s="328" t="e">
        <f>C35/Stoff!$F35</f>
        <v>#VALUE!</v>
      </c>
      <c r="H35" s="328" t="e">
        <f>D35/Stoff!$F35</f>
        <v>#VALUE!</v>
      </c>
      <c r="I35" s="328" t="e">
        <f>E35/Stoff!$F35</f>
        <v>#VALUE!</v>
      </c>
      <c r="J35" s="328" t="e">
        <f>F35/Stoff!$F35</f>
        <v>#VALUE!</v>
      </c>
      <c r="K35" s="328" t="e">
        <f>IF(L35=Mellomregninger!AD35,Mellomregninger!V35,Mellomregninger!AH35)</f>
        <v>#VALUE!</v>
      </c>
      <c r="L35" s="320" t="e">
        <f>IF(ISNUMBER(Mellomregninger!AP35),IF(Mellomregninger!AP35&gt;Mellomregninger!AD35,Mellomregninger!AP35,Mellomregninger!AD35),Mellomregninger!AD35)</f>
        <v>#VALUE!</v>
      </c>
      <c r="M35" s="328" t="e">
        <f>L35/Stoff!$F35</f>
        <v>#VALUE!</v>
      </c>
    </row>
    <row r="36" spans="1:13" x14ac:dyDescent="0.35">
      <c r="A36" s="239" t="s">
        <v>174</v>
      </c>
      <c r="B36" s="318" t="e">
        <f>Mellomregninger!O36</f>
        <v>#VALUE!</v>
      </c>
      <c r="C36" s="333" t="str">
        <f>Mellomregninger!J36</f>
        <v/>
      </c>
      <c r="D36" s="318" t="e">
        <f>Mellomregninger!BB36</f>
        <v>#VALUE!</v>
      </c>
      <c r="E36" s="318" t="e">
        <f>Mellomregninger!BN36</f>
        <v>#VALUE!</v>
      </c>
      <c r="F36" s="318" t="e">
        <f>Mellomregninger!BZ36</f>
        <v>#VALUE!</v>
      </c>
      <c r="G36" s="328" t="e">
        <f>C36/Stoff!$F36</f>
        <v>#VALUE!</v>
      </c>
      <c r="H36" s="328" t="e">
        <f>D36/Stoff!$F36</f>
        <v>#VALUE!</v>
      </c>
      <c r="I36" s="328" t="e">
        <f>E36/Stoff!$F36</f>
        <v>#VALUE!</v>
      </c>
      <c r="J36" s="328" t="e">
        <f>F36/Stoff!$F36</f>
        <v>#VALUE!</v>
      </c>
      <c r="K36" s="328" t="e">
        <f>IF(L36=Mellomregninger!AD36,Mellomregninger!V36,Mellomregninger!AH36)</f>
        <v>#VALUE!</v>
      </c>
      <c r="L36" s="320" t="e">
        <f>IF(ISNUMBER(Mellomregninger!AP36),IF(Mellomregninger!AP36&gt;Mellomregninger!AD36,Mellomregninger!AP36,Mellomregninger!AD36),Mellomregninger!AD36)</f>
        <v>#VALUE!</v>
      </c>
      <c r="M36" s="328" t="e">
        <f>L36/Stoff!$F36</f>
        <v>#VALUE!</v>
      </c>
    </row>
    <row r="37" spans="1:13" x14ac:dyDescent="0.35">
      <c r="A37" s="239" t="s">
        <v>173</v>
      </c>
      <c r="B37" s="318" t="e">
        <f>Mellomregninger!O37</f>
        <v>#VALUE!</v>
      </c>
      <c r="C37" s="333" t="str">
        <f>Mellomregninger!J37</f>
        <v/>
      </c>
      <c r="D37" s="318" t="e">
        <f>Mellomregninger!BB37</f>
        <v>#VALUE!</v>
      </c>
      <c r="E37" s="318" t="e">
        <f>Mellomregninger!BN37</f>
        <v>#VALUE!</v>
      </c>
      <c r="F37" s="318" t="e">
        <f>Mellomregninger!BZ37</f>
        <v>#VALUE!</v>
      </c>
      <c r="G37" s="328" t="e">
        <f>C37/Stoff!$F37</f>
        <v>#VALUE!</v>
      </c>
      <c r="H37" s="328" t="e">
        <f>D37/Stoff!$F37</f>
        <v>#VALUE!</v>
      </c>
      <c r="I37" s="328" t="e">
        <f>E37/Stoff!$F37</f>
        <v>#VALUE!</v>
      </c>
      <c r="J37" s="328" t="e">
        <f>F37/Stoff!$F37</f>
        <v>#VALUE!</v>
      </c>
      <c r="K37" s="328" t="e">
        <f>IF(L37=Mellomregninger!AD37,Mellomregninger!V37,Mellomregninger!AH37)</f>
        <v>#VALUE!</v>
      </c>
      <c r="L37" s="320" t="e">
        <f>IF(ISNUMBER(Mellomregninger!AP37),IF(Mellomregninger!AP37&gt;Mellomregninger!AD37,Mellomregninger!AP37,Mellomregninger!AD37),Mellomregninger!AD37)</f>
        <v>#VALUE!</v>
      </c>
      <c r="M37" s="328" t="e">
        <f>L37/Stoff!$F37</f>
        <v>#VALUE!</v>
      </c>
    </row>
    <row r="38" spans="1:13" x14ac:dyDescent="0.35">
      <c r="A38" s="239" t="s">
        <v>172</v>
      </c>
      <c r="B38" s="318" t="e">
        <f>Mellomregninger!O38</f>
        <v>#VALUE!</v>
      </c>
      <c r="C38" s="333" t="str">
        <f>Mellomregninger!J38</f>
        <v/>
      </c>
      <c r="D38" s="318" t="e">
        <f>Mellomregninger!BB38</f>
        <v>#VALUE!</v>
      </c>
      <c r="E38" s="318" t="e">
        <f>Mellomregninger!BN38</f>
        <v>#VALUE!</v>
      </c>
      <c r="F38" s="318" t="e">
        <f>Mellomregninger!BZ38</f>
        <v>#VALUE!</v>
      </c>
      <c r="G38" s="328" t="e">
        <f>C38/Stoff!$F38</f>
        <v>#VALUE!</v>
      </c>
      <c r="H38" s="328" t="e">
        <f>D38/Stoff!$F38</f>
        <v>#VALUE!</v>
      </c>
      <c r="I38" s="328" t="e">
        <f>E38/Stoff!$F38</f>
        <v>#VALUE!</v>
      </c>
      <c r="J38" s="328" t="e">
        <f>F38/Stoff!$F38</f>
        <v>#VALUE!</v>
      </c>
      <c r="K38" s="328" t="e">
        <f>IF(L38=Mellomregninger!AD38,Mellomregninger!V38,Mellomregninger!AH38)</f>
        <v>#VALUE!</v>
      </c>
      <c r="L38" s="320" t="e">
        <f>IF(ISNUMBER(Mellomregninger!AP38),IF(Mellomregninger!AP38&gt;Mellomregninger!AD38,Mellomregninger!AP38,Mellomregninger!AD38),Mellomregninger!AD38)</f>
        <v>#VALUE!</v>
      </c>
      <c r="M38" s="328" t="e">
        <f>L38/Stoff!$F38</f>
        <v>#VALUE!</v>
      </c>
    </row>
    <row r="39" spans="1:13" x14ac:dyDescent="0.35">
      <c r="A39" s="239" t="s">
        <v>171</v>
      </c>
      <c r="B39" s="318" t="e">
        <f>Mellomregninger!O39</f>
        <v>#VALUE!</v>
      </c>
      <c r="C39" s="333" t="str">
        <f>Mellomregninger!J39</f>
        <v/>
      </c>
      <c r="D39" s="318" t="e">
        <f>Mellomregninger!BB39</f>
        <v>#VALUE!</v>
      </c>
      <c r="E39" s="318" t="e">
        <f>Mellomregninger!BN39</f>
        <v>#VALUE!</v>
      </c>
      <c r="F39" s="318" t="e">
        <f>Mellomregninger!BZ39</f>
        <v>#VALUE!</v>
      </c>
      <c r="G39" s="328" t="e">
        <f>C39/Stoff!$F39</f>
        <v>#VALUE!</v>
      </c>
      <c r="H39" s="328" t="e">
        <f>D39/Stoff!$F39</f>
        <v>#VALUE!</v>
      </c>
      <c r="I39" s="328" t="e">
        <f>E39/Stoff!$F39</f>
        <v>#VALUE!</v>
      </c>
      <c r="J39" s="328" t="e">
        <f>F39/Stoff!$F39</f>
        <v>#VALUE!</v>
      </c>
      <c r="K39" s="328" t="e">
        <f>IF(L39=Mellomregninger!AD39,Mellomregninger!V39,Mellomregninger!AH39)</f>
        <v>#VALUE!</v>
      </c>
      <c r="L39" s="320" t="e">
        <f>IF(ISNUMBER(Mellomregninger!AP39),IF(Mellomregninger!AP39&gt;Mellomregninger!AD39,Mellomregninger!AP39,Mellomregninger!AD39),Mellomregninger!AD39)</f>
        <v>#VALUE!</v>
      </c>
      <c r="M39" s="328" t="e">
        <f>L39/Stoff!$F39</f>
        <v>#VALUE!</v>
      </c>
    </row>
    <row r="40" spans="1:13" x14ac:dyDescent="0.35">
      <c r="A40" s="239" t="s">
        <v>170</v>
      </c>
      <c r="B40" s="318" t="e">
        <f>Mellomregninger!O40</f>
        <v>#VALUE!</v>
      </c>
      <c r="C40" s="333" t="str">
        <f>Mellomregninger!J40</f>
        <v/>
      </c>
      <c r="D40" s="318" t="e">
        <f>Mellomregninger!BB40</f>
        <v>#VALUE!</v>
      </c>
      <c r="E40" s="318" t="e">
        <f>Mellomregninger!BN40</f>
        <v>#VALUE!</v>
      </c>
      <c r="F40" s="318" t="e">
        <f>Mellomregninger!BZ40</f>
        <v>#VALUE!</v>
      </c>
      <c r="G40" s="328" t="e">
        <f>C40/Stoff!$F40</f>
        <v>#VALUE!</v>
      </c>
      <c r="H40" s="328" t="e">
        <f>D40/Stoff!$F40</f>
        <v>#VALUE!</v>
      </c>
      <c r="I40" s="328" t="e">
        <f>E40/Stoff!$F40</f>
        <v>#VALUE!</v>
      </c>
      <c r="J40" s="328" t="e">
        <f>F40/Stoff!$F40</f>
        <v>#VALUE!</v>
      </c>
      <c r="K40" s="328" t="e">
        <f>IF(L40=Mellomregninger!AD40,Mellomregninger!V40,Mellomregninger!AH40)</f>
        <v>#VALUE!</v>
      </c>
      <c r="L40" s="320" t="e">
        <f>IF(ISNUMBER(Mellomregninger!AP40),IF(Mellomregninger!AP40&gt;Mellomregninger!AD40,Mellomregninger!AP40,Mellomregninger!AD40),Mellomregninger!AD40)</f>
        <v>#VALUE!</v>
      </c>
      <c r="M40" s="328" t="e">
        <f>L40/Stoff!$F40</f>
        <v>#VALUE!</v>
      </c>
    </row>
    <row r="41" spans="1:13" x14ac:dyDescent="0.35">
      <c r="A41" s="239" t="s">
        <v>169</v>
      </c>
      <c r="B41" s="318" t="e">
        <f>Mellomregninger!O41</f>
        <v>#VALUE!</v>
      </c>
      <c r="C41" s="333" t="str">
        <f>Mellomregninger!J41</f>
        <v/>
      </c>
      <c r="D41" s="318" t="e">
        <f>Mellomregninger!BB41</f>
        <v>#VALUE!</v>
      </c>
      <c r="E41" s="318" t="e">
        <f>Mellomregninger!BN41</f>
        <v>#VALUE!</v>
      </c>
      <c r="F41" s="318" t="e">
        <f>Mellomregninger!BZ41</f>
        <v>#VALUE!</v>
      </c>
      <c r="G41" s="328" t="e">
        <f>C41/Stoff!$F41</f>
        <v>#VALUE!</v>
      </c>
      <c r="H41" s="328" t="e">
        <f>D41/Stoff!$F41</f>
        <v>#VALUE!</v>
      </c>
      <c r="I41" s="328" t="e">
        <f>E41/Stoff!$F41</f>
        <v>#VALUE!</v>
      </c>
      <c r="J41" s="328" t="e">
        <f>F41/Stoff!$F41</f>
        <v>#VALUE!</v>
      </c>
      <c r="K41" s="328" t="e">
        <f>IF(L41=Mellomregninger!AD41,Mellomregninger!V41,Mellomregninger!AH41)</f>
        <v>#VALUE!</v>
      </c>
      <c r="L41" s="320" t="e">
        <f>IF(ISNUMBER(Mellomregninger!AP41),IF(Mellomregninger!AP41&gt;Mellomregninger!AD41,Mellomregninger!AP41,Mellomregninger!AD41),Mellomregninger!AD41)</f>
        <v>#VALUE!</v>
      </c>
      <c r="M41" s="328" t="e">
        <f>L41/Stoff!$F41</f>
        <v>#VALUE!</v>
      </c>
    </row>
    <row r="42" spans="1:13" x14ac:dyDescent="0.35">
      <c r="A42" s="239" t="s">
        <v>168</v>
      </c>
      <c r="B42" s="318" t="e">
        <f>Mellomregninger!O42</f>
        <v>#VALUE!</v>
      </c>
      <c r="C42" s="333" t="str">
        <f>Mellomregninger!J42</f>
        <v/>
      </c>
      <c r="D42" s="318" t="e">
        <f>Mellomregninger!BB42</f>
        <v>#VALUE!</v>
      </c>
      <c r="E42" s="318" t="e">
        <f>Mellomregninger!BN42</f>
        <v>#VALUE!</v>
      </c>
      <c r="F42" s="318" t="e">
        <f>Mellomregninger!BZ42</f>
        <v>#VALUE!</v>
      </c>
      <c r="G42" s="328" t="e">
        <f>C42/Stoff!$F42</f>
        <v>#VALUE!</v>
      </c>
      <c r="H42" s="328" t="e">
        <f>D42/Stoff!$F42</f>
        <v>#VALUE!</v>
      </c>
      <c r="I42" s="328" t="e">
        <f>E42/Stoff!$F42</f>
        <v>#VALUE!</v>
      </c>
      <c r="J42" s="328" t="e">
        <f>F42/Stoff!$F42</f>
        <v>#VALUE!</v>
      </c>
      <c r="K42" s="328" t="e">
        <f>IF(L42=Mellomregninger!AD42,Mellomregninger!V42,Mellomregninger!AH42)</f>
        <v>#VALUE!</v>
      </c>
      <c r="L42" s="320" t="e">
        <f>IF(ISNUMBER(Mellomregninger!AP42),IF(Mellomregninger!AP42&gt;Mellomregninger!AD42,Mellomregninger!AP42,Mellomregninger!AD42),Mellomregninger!AD42)</f>
        <v>#VALUE!</v>
      </c>
      <c r="M42" s="328" t="e">
        <f>L42/Stoff!$F42</f>
        <v>#VALUE!</v>
      </c>
    </row>
    <row r="43" spans="1:13" x14ac:dyDescent="0.35">
      <c r="A43" s="239" t="s">
        <v>167</v>
      </c>
      <c r="B43" s="318" t="e">
        <f>Mellomregninger!O43</f>
        <v>#VALUE!</v>
      </c>
      <c r="C43" s="333" t="str">
        <f>Mellomregninger!J43</f>
        <v/>
      </c>
      <c r="D43" s="318" t="e">
        <f>Mellomregninger!BB43</f>
        <v>#VALUE!</v>
      </c>
      <c r="E43" s="318" t="e">
        <f>Mellomregninger!BN43</f>
        <v>#VALUE!</v>
      </c>
      <c r="F43" s="318" t="e">
        <f>Mellomregninger!BZ43</f>
        <v>#VALUE!</v>
      </c>
      <c r="G43" s="328" t="e">
        <f>C43/Stoff!$F43</f>
        <v>#VALUE!</v>
      </c>
      <c r="H43" s="328" t="e">
        <f>D43/Stoff!$F43</f>
        <v>#VALUE!</v>
      </c>
      <c r="I43" s="328" t="e">
        <f>E43/Stoff!$F43</f>
        <v>#VALUE!</v>
      </c>
      <c r="J43" s="328" t="e">
        <f>F43/Stoff!$F43</f>
        <v>#VALUE!</v>
      </c>
      <c r="K43" s="328" t="e">
        <f>IF(L43=Mellomregninger!AD43,Mellomregninger!V43,Mellomregninger!AH43)</f>
        <v>#VALUE!</v>
      </c>
      <c r="L43" s="320" t="e">
        <f>IF(ISNUMBER(Mellomregninger!AP43),IF(Mellomregninger!AP43&gt;Mellomregninger!AD43,Mellomregninger!AP43,Mellomregninger!AD43),Mellomregninger!AD43)</f>
        <v>#VALUE!</v>
      </c>
      <c r="M43" s="328" t="e">
        <f>L43/Stoff!$F43</f>
        <v>#VALUE!</v>
      </c>
    </row>
    <row r="44" spans="1:13" x14ac:dyDescent="0.35">
      <c r="A44" s="239" t="s">
        <v>166</v>
      </c>
      <c r="B44" s="318" t="e">
        <f>Mellomregninger!O44</f>
        <v>#VALUE!</v>
      </c>
      <c r="C44" s="333" t="str">
        <f>Mellomregninger!J44</f>
        <v/>
      </c>
      <c r="D44" s="318" t="e">
        <f>Mellomregninger!BB44</f>
        <v>#VALUE!</v>
      </c>
      <c r="E44" s="318" t="e">
        <f>Mellomregninger!BN44</f>
        <v>#VALUE!</v>
      </c>
      <c r="F44" s="318" t="e">
        <f>Mellomregninger!BZ44</f>
        <v>#VALUE!</v>
      </c>
      <c r="G44" s="328" t="e">
        <f>C44/Stoff!$F44</f>
        <v>#VALUE!</v>
      </c>
      <c r="H44" s="328" t="e">
        <f>D44/Stoff!$F44</f>
        <v>#VALUE!</v>
      </c>
      <c r="I44" s="328" t="e">
        <f>E44/Stoff!$F44</f>
        <v>#VALUE!</v>
      </c>
      <c r="J44" s="328" t="e">
        <f>F44/Stoff!$F44</f>
        <v>#VALUE!</v>
      </c>
      <c r="K44" s="328" t="e">
        <f>IF(L44=Mellomregninger!AD44,Mellomregninger!V44,Mellomregninger!AH44)</f>
        <v>#VALUE!</v>
      </c>
      <c r="L44" s="320" t="e">
        <f>IF(ISNUMBER(Mellomregninger!AP44),IF(Mellomregninger!AP44&gt;Mellomregninger!AD44,Mellomregninger!AP44,Mellomregninger!AD44),Mellomregninger!AD44)</f>
        <v>#VALUE!</v>
      </c>
      <c r="M44" s="328" t="e">
        <f>L44/Stoff!$F44</f>
        <v>#VALUE!</v>
      </c>
    </row>
    <row r="45" spans="1:13" x14ac:dyDescent="0.35">
      <c r="A45" s="239" t="s">
        <v>165</v>
      </c>
      <c r="B45" s="318" t="e">
        <f>Mellomregninger!O45</f>
        <v>#VALUE!</v>
      </c>
      <c r="C45" s="333" t="str">
        <f>Mellomregninger!J45</f>
        <v/>
      </c>
      <c r="D45" s="318" t="e">
        <f>Mellomregninger!BB45</f>
        <v>#VALUE!</v>
      </c>
      <c r="E45" s="318" t="e">
        <f>Mellomregninger!BN45</f>
        <v>#VALUE!</v>
      </c>
      <c r="F45" s="318" t="e">
        <f>Mellomregninger!BZ45</f>
        <v>#VALUE!</v>
      </c>
      <c r="G45" s="328" t="e">
        <f>C45/Stoff!$F45</f>
        <v>#VALUE!</v>
      </c>
      <c r="H45" s="328" t="e">
        <f>D45/Stoff!$F45</f>
        <v>#VALUE!</v>
      </c>
      <c r="I45" s="328" t="e">
        <f>E45/Stoff!$F45</f>
        <v>#VALUE!</v>
      </c>
      <c r="J45" s="328" t="e">
        <f>F45/Stoff!$F45</f>
        <v>#VALUE!</v>
      </c>
      <c r="K45" s="328" t="e">
        <f>IF(L45=Mellomregninger!AD45,Mellomregninger!V45,Mellomregninger!AH45)</f>
        <v>#VALUE!</v>
      </c>
      <c r="L45" s="320" t="e">
        <f>IF(ISNUMBER(Mellomregninger!AP45),IF(Mellomregninger!AP45&gt;Mellomregninger!AD45,Mellomregninger!AP45,Mellomregninger!AD45),Mellomregninger!AD45)</f>
        <v>#VALUE!</v>
      </c>
      <c r="M45" s="328" t="e">
        <f>L45/Stoff!$F45</f>
        <v>#VALUE!</v>
      </c>
    </row>
    <row r="46" spans="1:13" x14ac:dyDescent="0.35">
      <c r="A46" s="239" t="s">
        <v>164</v>
      </c>
      <c r="B46" s="318" t="e">
        <f>Mellomregninger!O46</f>
        <v>#VALUE!</v>
      </c>
      <c r="C46" s="333" t="str">
        <f>Mellomregninger!J46</f>
        <v/>
      </c>
      <c r="D46" s="318" t="e">
        <f>Mellomregninger!BB46</f>
        <v>#VALUE!</v>
      </c>
      <c r="E46" s="318" t="e">
        <f>Mellomregninger!BN46</f>
        <v>#VALUE!</v>
      </c>
      <c r="F46" s="318" t="e">
        <f>Mellomregninger!BZ46</f>
        <v>#VALUE!</v>
      </c>
      <c r="G46" s="328" t="e">
        <f>C46/Stoff!$F46</f>
        <v>#VALUE!</v>
      </c>
      <c r="H46" s="328" t="e">
        <f>D46/Stoff!$F46</f>
        <v>#VALUE!</v>
      </c>
      <c r="I46" s="328" t="e">
        <f>E46/Stoff!$F46</f>
        <v>#VALUE!</v>
      </c>
      <c r="J46" s="328" t="e">
        <f>F46/Stoff!$F46</f>
        <v>#VALUE!</v>
      </c>
      <c r="K46" s="328" t="e">
        <f>IF(L46=Mellomregninger!AD46,Mellomregninger!V46,Mellomregninger!AH46)</f>
        <v>#VALUE!</v>
      </c>
      <c r="L46" s="320" t="e">
        <f>IF(ISNUMBER(Mellomregninger!AP46),IF(Mellomregninger!AP46&gt;Mellomregninger!AD46,Mellomregninger!AP46,Mellomregninger!AD46),Mellomregninger!AD46)</f>
        <v>#VALUE!</v>
      </c>
      <c r="M46" s="328" t="e">
        <f>L46/Stoff!$F46</f>
        <v>#VALUE!</v>
      </c>
    </row>
    <row r="47" spans="1:13" x14ac:dyDescent="0.35">
      <c r="A47" s="239" t="s">
        <v>163</v>
      </c>
      <c r="B47" s="318" t="e">
        <f>Mellomregninger!O47</f>
        <v>#VALUE!</v>
      </c>
      <c r="C47" s="333" t="str">
        <f>Mellomregninger!J47</f>
        <v/>
      </c>
      <c r="D47" s="318" t="e">
        <f>Mellomregninger!BB47</f>
        <v>#VALUE!</v>
      </c>
      <c r="E47" s="318" t="e">
        <f>Mellomregninger!BN47</f>
        <v>#VALUE!</v>
      </c>
      <c r="F47" s="318" t="e">
        <f>Mellomregninger!BZ47</f>
        <v>#VALUE!</v>
      </c>
      <c r="G47" s="328" t="e">
        <f>C47/Stoff!$F47</f>
        <v>#VALUE!</v>
      </c>
      <c r="H47" s="328" t="e">
        <f>D47/Stoff!$F47</f>
        <v>#VALUE!</v>
      </c>
      <c r="I47" s="328" t="e">
        <f>E47/Stoff!$F47</f>
        <v>#VALUE!</v>
      </c>
      <c r="J47" s="328" t="e">
        <f>F47/Stoff!$F47</f>
        <v>#VALUE!</v>
      </c>
      <c r="K47" s="328" t="e">
        <f>IF(L47=Mellomregninger!AD47,Mellomregninger!V47,Mellomregninger!AH47)</f>
        <v>#VALUE!</v>
      </c>
      <c r="L47" s="320" t="e">
        <f>IF(ISNUMBER(Mellomregninger!AP47),IF(Mellomregninger!AP47&gt;Mellomregninger!AD47,Mellomregninger!AP47,Mellomregninger!AD47),Mellomregninger!AD47)</f>
        <v>#VALUE!</v>
      </c>
      <c r="M47" s="328" t="e">
        <f>L47/Stoff!$F47</f>
        <v>#VALUE!</v>
      </c>
    </row>
    <row r="48" spans="1:13" x14ac:dyDescent="0.35">
      <c r="A48" s="239" t="s">
        <v>162</v>
      </c>
      <c r="B48" s="318" t="e">
        <f>Mellomregninger!O48</f>
        <v>#VALUE!</v>
      </c>
      <c r="C48" s="333" t="str">
        <f>Mellomregninger!J48</f>
        <v/>
      </c>
      <c r="D48" s="318" t="e">
        <f>Mellomregninger!BB48</f>
        <v>#VALUE!</v>
      </c>
      <c r="E48" s="318" t="e">
        <f>Mellomregninger!BN48</f>
        <v>#VALUE!</v>
      </c>
      <c r="F48" s="318" t="e">
        <f>Mellomregninger!BZ48</f>
        <v>#VALUE!</v>
      </c>
      <c r="G48" s="328" t="e">
        <f>C48/Stoff!$F48</f>
        <v>#VALUE!</v>
      </c>
      <c r="H48" s="328" t="e">
        <f>D48/Stoff!$F48</f>
        <v>#VALUE!</v>
      </c>
      <c r="I48" s="328" t="e">
        <f>E48/Stoff!$F48</f>
        <v>#VALUE!</v>
      </c>
      <c r="J48" s="328" t="e">
        <f>F48/Stoff!$F48</f>
        <v>#VALUE!</v>
      </c>
      <c r="K48" s="328" t="e">
        <f>IF(L48=Mellomregninger!AD48,Mellomregninger!V48,Mellomregninger!AH48)</f>
        <v>#VALUE!</v>
      </c>
      <c r="L48" s="320" t="e">
        <f>IF(ISNUMBER(Mellomregninger!AP48),IF(Mellomregninger!AP48&gt;Mellomregninger!AD48,Mellomregninger!AP48,Mellomregninger!AD48),Mellomregninger!AD48)</f>
        <v>#VALUE!</v>
      </c>
      <c r="M48" s="328" t="e">
        <f>L48/Stoff!$F48</f>
        <v>#VALUE!</v>
      </c>
    </row>
    <row r="49" spans="1:13" x14ac:dyDescent="0.35">
      <c r="A49" s="239" t="s">
        <v>161</v>
      </c>
      <c r="B49" s="318" t="e">
        <f>Mellomregninger!O49</f>
        <v>#VALUE!</v>
      </c>
      <c r="C49" s="333" t="str">
        <f>Mellomregninger!J49</f>
        <v/>
      </c>
      <c r="D49" s="318" t="e">
        <f>Mellomregninger!BB49</f>
        <v>#VALUE!</v>
      </c>
      <c r="E49" s="318" t="e">
        <f>Mellomregninger!BN49</f>
        <v>#VALUE!</v>
      </c>
      <c r="F49" s="318" t="e">
        <f>Mellomregninger!BZ49</f>
        <v>#VALUE!</v>
      </c>
      <c r="G49" s="328" t="e">
        <f>C49/Stoff!$F49</f>
        <v>#VALUE!</v>
      </c>
      <c r="H49" s="328" t="e">
        <f>D49/Stoff!$F49</f>
        <v>#VALUE!</v>
      </c>
      <c r="I49" s="328" t="e">
        <f>E49/Stoff!$F49</f>
        <v>#VALUE!</v>
      </c>
      <c r="J49" s="328" t="e">
        <f>F49/Stoff!$F49</f>
        <v>#VALUE!</v>
      </c>
      <c r="K49" s="328" t="e">
        <f>IF(L49=Mellomregninger!AD49,Mellomregninger!V49,Mellomregninger!AH49)</f>
        <v>#VALUE!</v>
      </c>
      <c r="L49" s="320" t="e">
        <f>IF(ISNUMBER(Mellomregninger!AP49),IF(Mellomregninger!AP49&gt;Mellomregninger!AD49,Mellomregninger!AP49,Mellomregninger!AD49),Mellomregninger!AD49)</f>
        <v>#VALUE!</v>
      </c>
      <c r="M49" s="328" t="e">
        <f>L49/Stoff!$F49</f>
        <v>#VALUE!</v>
      </c>
    </row>
    <row r="50" spans="1:13" x14ac:dyDescent="0.35">
      <c r="A50" s="239" t="s">
        <v>160</v>
      </c>
      <c r="B50" s="318" t="e">
        <f>Mellomregninger!O50</f>
        <v>#VALUE!</v>
      </c>
      <c r="C50" s="333" t="str">
        <f>Mellomregninger!J50</f>
        <v/>
      </c>
      <c r="D50" s="318" t="e">
        <f>Mellomregninger!BB50</f>
        <v>#VALUE!</v>
      </c>
      <c r="E50" s="318" t="e">
        <f>Mellomregninger!BN50</f>
        <v>#VALUE!</v>
      </c>
      <c r="F50" s="318" t="e">
        <f>Mellomregninger!BZ50</f>
        <v>#VALUE!</v>
      </c>
      <c r="G50" s="328" t="e">
        <f>C50/Stoff!$F50</f>
        <v>#VALUE!</v>
      </c>
      <c r="H50" s="328" t="e">
        <f>D50/Stoff!$F50</f>
        <v>#VALUE!</v>
      </c>
      <c r="I50" s="328" t="e">
        <f>E50/Stoff!$F50</f>
        <v>#VALUE!</v>
      </c>
      <c r="J50" s="328" t="e">
        <f>F50/Stoff!$F50</f>
        <v>#VALUE!</v>
      </c>
      <c r="K50" s="328" t="e">
        <f>IF(L50=Mellomregninger!AD50,Mellomregninger!V50,Mellomregninger!AH50)</f>
        <v>#VALUE!</v>
      </c>
      <c r="L50" s="320" t="e">
        <f>IF(ISNUMBER(Mellomregninger!AP50),IF(Mellomregninger!AP50&gt;Mellomregninger!AD50,Mellomregninger!AP50,Mellomregninger!AD50),Mellomregninger!AD50)</f>
        <v>#VALUE!</v>
      </c>
      <c r="M50" s="328" t="e">
        <f>L50/Stoff!$F50</f>
        <v>#VALUE!</v>
      </c>
    </row>
    <row r="51" spans="1:13" x14ac:dyDescent="0.35">
      <c r="A51" s="239" t="s">
        <v>159</v>
      </c>
      <c r="B51" s="318" t="e">
        <f>Mellomregninger!O51</f>
        <v>#VALUE!</v>
      </c>
      <c r="C51" s="333" t="str">
        <f>Mellomregninger!J51</f>
        <v/>
      </c>
      <c r="D51" s="318" t="e">
        <f>Mellomregninger!BB51</f>
        <v>#VALUE!</v>
      </c>
      <c r="E51" s="318" t="e">
        <f>Mellomregninger!BN51</f>
        <v>#VALUE!</v>
      </c>
      <c r="F51" s="318" t="e">
        <f>Mellomregninger!BZ51</f>
        <v>#VALUE!</v>
      </c>
      <c r="G51" s="328" t="e">
        <f>C51/Stoff!$F51</f>
        <v>#VALUE!</v>
      </c>
      <c r="H51" s="328" t="e">
        <f>D51/Stoff!$F51</f>
        <v>#VALUE!</v>
      </c>
      <c r="I51" s="328" t="e">
        <f>E51/Stoff!$F51</f>
        <v>#VALUE!</v>
      </c>
      <c r="J51" s="328" t="e">
        <f>F51/Stoff!$F51</f>
        <v>#VALUE!</v>
      </c>
      <c r="K51" s="328" t="e">
        <f>IF(L51=Mellomregninger!AD51,Mellomregninger!V51,Mellomregninger!AH51)</f>
        <v>#VALUE!</v>
      </c>
      <c r="L51" s="320" t="e">
        <f>IF(ISNUMBER(Mellomregninger!AP51),IF(Mellomregninger!AP51&gt;Mellomregninger!AD51,Mellomregninger!AP51,Mellomregninger!AD51),Mellomregninger!AD51)</f>
        <v>#VALUE!</v>
      </c>
      <c r="M51" s="328" t="e">
        <f>L51/Stoff!$F51</f>
        <v>#VALUE!</v>
      </c>
    </row>
    <row r="52" spans="1:13" x14ac:dyDescent="0.35">
      <c r="A52" s="239" t="s">
        <v>158</v>
      </c>
      <c r="B52" s="318" t="e">
        <f>Mellomregninger!O52</f>
        <v>#VALUE!</v>
      </c>
      <c r="C52" s="333" t="str">
        <f>Mellomregninger!J52</f>
        <v/>
      </c>
      <c r="D52" s="318" t="e">
        <f>Mellomregninger!BB52</f>
        <v>#VALUE!</v>
      </c>
      <c r="E52" s="318" t="e">
        <f>Mellomregninger!BN52</f>
        <v>#VALUE!</v>
      </c>
      <c r="F52" s="318" t="e">
        <f>Mellomregninger!BZ52</f>
        <v>#VALUE!</v>
      </c>
      <c r="G52" s="328" t="e">
        <f>C52/Stoff!$F52</f>
        <v>#VALUE!</v>
      </c>
      <c r="H52" s="328" t="e">
        <f>D52/Stoff!$F52</f>
        <v>#VALUE!</v>
      </c>
      <c r="I52" s="328" t="e">
        <f>E52/Stoff!$F52</f>
        <v>#VALUE!</v>
      </c>
      <c r="J52" s="328" t="e">
        <f>F52/Stoff!$F52</f>
        <v>#VALUE!</v>
      </c>
      <c r="K52" s="328" t="e">
        <f>IF(L52=Mellomregninger!AD52,Mellomregninger!V52,Mellomregninger!AH52)</f>
        <v>#VALUE!</v>
      </c>
      <c r="L52" s="320" t="e">
        <f>IF(ISNUMBER(Mellomregninger!AP52),IF(Mellomregninger!AP52&gt;Mellomregninger!AD52,Mellomregninger!AP52,Mellomregninger!AD52),Mellomregninger!AD52)</f>
        <v>#VALUE!</v>
      </c>
      <c r="M52" s="328" t="e">
        <f>L52/Stoff!$F52</f>
        <v>#VALUE!</v>
      </c>
    </row>
    <row r="53" spans="1:13" x14ac:dyDescent="0.35">
      <c r="A53" s="239" t="s">
        <v>157</v>
      </c>
      <c r="B53" s="318" t="e">
        <f>Mellomregninger!O53</f>
        <v>#VALUE!</v>
      </c>
      <c r="C53" s="333" t="str">
        <f>Mellomregninger!J53</f>
        <v/>
      </c>
      <c r="D53" s="318" t="e">
        <f>Mellomregninger!BB53</f>
        <v>#VALUE!</v>
      </c>
      <c r="E53" s="318" t="e">
        <f>Mellomregninger!BN53</f>
        <v>#VALUE!</v>
      </c>
      <c r="F53" s="318" t="e">
        <f>Mellomregninger!BZ53</f>
        <v>#VALUE!</v>
      </c>
      <c r="G53" s="328" t="e">
        <f>C53/Stoff!$F53</f>
        <v>#VALUE!</v>
      </c>
      <c r="H53" s="328" t="e">
        <f>D53/Stoff!$F53</f>
        <v>#VALUE!</v>
      </c>
      <c r="I53" s="328" t="e">
        <f>E53/Stoff!$F53</f>
        <v>#VALUE!</v>
      </c>
      <c r="J53" s="328" t="e">
        <f>F53/Stoff!$F53</f>
        <v>#VALUE!</v>
      </c>
      <c r="K53" s="328" t="e">
        <f>IF(L53=Mellomregninger!AD53,Mellomregninger!V53,Mellomregninger!AH53)</f>
        <v>#VALUE!</v>
      </c>
      <c r="L53" s="320" t="e">
        <f>IF(ISNUMBER(Mellomregninger!AP53),IF(Mellomregninger!AP53&gt;Mellomregninger!AD53,Mellomregninger!AP53,Mellomregninger!AD53),Mellomregninger!AD53)</f>
        <v>#VALUE!</v>
      </c>
      <c r="M53" s="328" t="e">
        <f>L53/Stoff!$F53</f>
        <v>#VALUE!</v>
      </c>
    </row>
    <row r="54" spans="1:13" x14ac:dyDescent="0.35">
      <c r="A54" s="239" t="s">
        <v>156</v>
      </c>
      <c r="B54" s="318" t="e">
        <f>Mellomregninger!O54</f>
        <v>#VALUE!</v>
      </c>
      <c r="C54" s="333" t="str">
        <f>Mellomregninger!J54</f>
        <v/>
      </c>
      <c r="D54" s="318" t="e">
        <f>Mellomregninger!BB54</f>
        <v>#VALUE!</v>
      </c>
      <c r="E54" s="318" t="e">
        <f>Mellomregninger!BN54</f>
        <v>#VALUE!</v>
      </c>
      <c r="F54" s="318" t="e">
        <f>Mellomregninger!BZ54</f>
        <v>#VALUE!</v>
      </c>
      <c r="G54" s="328" t="e">
        <f>C54/Stoff!$F54</f>
        <v>#VALUE!</v>
      </c>
      <c r="H54" s="328" t="e">
        <f>D54/Stoff!$F54</f>
        <v>#VALUE!</v>
      </c>
      <c r="I54" s="328" t="e">
        <f>E54/Stoff!$F54</f>
        <v>#VALUE!</v>
      </c>
      <c r="J54" s="328" t="e">
        <f>F54/Stoff!$F54</f>
        <v>#VALUE!</v>
      </c>
      <c r="K54" s="328" t="e">
        <f>IF(L54=Mellomregninger!AD54,Mellomregninger!V54,Mellomregninger!AH54)</f>
        <v>#VALUE!</v>
      </c>
      <c r="L54" s="320" t="e">
        <f>IF(ISNUMBER(Mellomregninger!AP54),IF(Mellomregninger!AP54&gt;Mellomregninger!AD54,Mellomregninger!AP54,Mellomregninger!AD54),Mellomregninger!AD54)</f>
        <v>#VALUE!</v>
      </c>
      <c r="M54" s="328" t="e">
        <f>L54/Stoff!$F54</f>
        <v>#VALUE!</v>
      </c>
    </row>
    <row r="55" spans="1:13" x14ac:dyDescent="0.35">
      <c r="A55" s="239" t="s">
        <v>155</v>
      </c>
      <c r="B55" s="318" t="e">
        <f>Mellomregninger!O55</f>
        <v>#VALUE!</v>
      </c>
      <c r="C55" s="333" t="str">
        <f>Mellomregninger!J55</f>
        <v/>
      </c>
      <c r="D55" s="318" t="e">
        <f>Mellomregninger!BB55</f>
        <v>#VALUE!</v>
      </c>
      <c r="E55" s="318" t="e">
        <f>Mellomregninger!BN55</f>
        <v>#VALUE!</v>
      </c>
      <c r="F55" s="318" t="e">
        <f>Mellomregninger!BZ55</f>
        <v>#VALUE!</v>
      </c>
      <c r="G55" s="328" t="e">
        <f>C55/Stoff!$F55</f>
        <v>#VALUE!</v>
      </c>
      <c r="H55" s="328" t="e">
        <f>D55/Stoff!$F55</f>
        <v>#VALUE!</v>
      </c>
      <c r="I55" s="328" t="e">
        <f>E55/Stoff!$F55</f>
        <v>#VALUE!</v>
      </c>
      <c r="J55" s="328" t="e">
        <f>F55/Stoff!$F55</f>
        <v>#VALUE!</v>
      </c>
      <c r="K55" s="328" t="e">
        <f>IF(L55=Mellomregninger!AD55,Mellomregninger!V55,Mellomregninger!AH55)</f>
        <v>#VALUE!</v>
      </c>
      <c r="L55" s="320" t="e">
        <f>IF(ISNUMBER(Mellomregninger!AP55),IF(Mellomregninger!AP55&gt;Mellomregninger!AD55,Mellomregninger!AP55,Mellomregninger!AD55),Mellomregninger!AD55)</f>
        <v>#VALUE!</v>
      </c>
      <c r="M55" s="328" t="e">
        <f>L55/Stoff!$F55</f>
        <v>#VALUE!</v>
      </c>
    </row>
    <row r="56" spans="1:13" x14ac:dyDescent="0.35">
      <c r="A56" s="239" t="s">
        <v>154</v>
      </c>
      <c r="B56" s="318" t="e">
        <f>Mellomregninger!O56</f>
        <v>#VALUE!</v>
      </c>
      <c r="C56" s="333" t="str">
        <f>Mellomregninger!J56</f>
        <v/>
      </c>
      <c r="D56" s="318" t="e">
        <f>Mellomregninger!BB56</f>
        <v>#VALUE!</v>
      </c>
      <c r="E56" s="318" t="e">
        <f>Mellomregninger!BN56</f>
        <v>#VALUE!</v>
      </c>
      <c r="F56" s="318" t="e">
        <f>Mellomregninger!BZ56</f>
        <v>#VALUE!</v>
      </c>
      <c r="G56" s="328" t="e">
        <f>C56/Stoff!$F56</f>
        <v>#VALUE!</v>
      </c>
      <c r="H56" s="328" t="e">
        <f>D56/Stoff!$F56</f>
        <v>#VALUE!</v>
      </c>
      <c r="I56" s="328" t="e">
        <f>E56/Stoff!$F56</f>
        <v>#VALUE!</v>
      </c>
      <c r="J56" s="328" t="e">
        <f>F56/Stoff!$F56</f>
        <v>#VALUE!</v>
      </c>
      <c r="K56" s="328" t="e">
        <f>IF(L56=Mellomregninger!AD56,Mellomregninger!V56,Mellomregninger!AH56)</f>
        <v>#VALUE!</v>
      </c>
      <c r="L56" s="320" t="e">
        <f>IF(ISNUMBER(Mellomregninger!AP56),IF(Mellomregninger!AP56&gt;Mellomregninger!AD56,Mellomregninger!AP56,Mellomregninger!AD56),Mellomregninger!AD56)</f>
        <v>#VALUE!</v>
      </c>
      <c r="M56" s="328" t="e">
        <f>L56/Stoff!$F56</f>
        <v>#VALUE!</v>
      </c>
    </row>
    <row r="57" spans="1:13" x14ac:dyDescent="0.35">
      <c r="A57" s="239" t="s">
        <v>153</v>
      </c>
      <c r="B57" s="318" t="e">
        <f>Mellomregninger!O57</f>
        <v>#VALUE!</v>
      </c>
      <c r="C57" s="333" t="str">
        <f>Mellomregninger!J57</f>
        <v/>
      </c>
      <c r="D57" s="318" t="e">
        <f>Mellomregninger!BB57</f>
        <v>#VALUE!</v>
      </c>
      <c r="E57" s="318" t="e">
        <f>Mellomregninger!BN57</f>
        <v>#VALUE!</v>
      </c>
      <c r="F57" s="318" t="e">
        <f>Mellomregninger!BZ57</f>
        <v>#VALUE!</v>
      </c>
      <c r="G57" s="328" t="e">
        <f>C57/Stoff!$F57</f>
        <v>#VALUE!</v>
      </c>
      <c r="H57" s="328" t="e">
        <f>D57/Stoff!$F57</f>
        <v>#VALUE!</v>
      </c>
      <c r="I57" s="328" t="e">
        <f>E57/Stoff!$F57</f>
        <v>#VALUE!</v>
      </c>
      <c r="J57" s="328" t="e">
        <f>F57/Stoff!$F57</f>
        <v>#VALUE!</v>
      </c>
      <c r="K57" s="328" t="e">
        <f>IF(L57=Mellomregninger!AD57,Mellomregninger!V57,Mellomregninger!AH57)</f>
        <v>#VALUE!</v>
      </c>
      <c r="L57" s="320" t="e">
        <f>IF(ISNUMBER(Mellomregninger!AP57),IF(Mellomregninger!AP57&gt;Mellomregninger!AD57,Mellomregninger!AP57,Mellomregninger!AD57),Mellomregninger!AD57)</f>
        <v>#VALUE!</v>
      </c>
      <c r="M57" s="328" t="e">
        <f>L57/Stoff!$F57</f>
        <v>#VALUE!</v>
      </c>
    </row>
    <row r="58" spans="1:13" x14ac:dyDescent="0.35">
      <c r="A58" s="239" t="s">
        <v>152</v>
      </c>
      <c r="B58" s="318" t="e">
        <f>Mellomregninger!O58</f>
        <v>#VALUE!</v>
      </c>
      <c r="C58" s="333" t="str">
        <f>Mellomregninger!J58</f>
        <v/>
      </c>
      <c r="D58" s="318" t="e">
        <f>Mellomregninger!BB58</f>
        <v>#VALUE!</v>
      </c>
      <c r="E58" s="318" t="e">
        <f>Mellomregninger!BN58</f>
        <v>#VALUE!</v>
      </c>
      <c r="F58" s="318" t="e">
        <f>Mellomregninger!BZ58</f>
        <v>#VALUE!</v>
      </c>
      <c r="G58" s="328" t="e">
        <f>C58/Stoff!$F58</f>
        <v>#VALUE!</v>
      </c>
      <c r="H58" s="328" t="e">
        <f>D58/Stoff!$F58</f>
        <v>#VALUE!</v>
      </c>
      <c r="I58" s="328" t="e">
        <f>E58/Stoff!$F58</f>
        <v>#VALUE!</v>
      </c>
      <c r="J58" s="328" t="e">
        <f>F58/Stoff!$F58</f>
        <v>#VALUE!</v>
      </c>
      <c r="K58" s="328" t="e">
        <f>IF(L58=Mellomregninger!AD58,Mellomregninger!V58,Mellomregninger!AH58)</f>
        <v>#VALUE!</v>
      </c>
      <c r="L58" s="320" t="e">
        <f>IF(ISNUMBER(Mellomregninger!AP58),IF(Mellomregninger!AP58&gt;Mellomregninger!AD58,Mellomregninger!AP58,Mellomregninger!AD58),Mellomregninger!AD58)</f>
        <v>#VALUE!</v>
      </c>
      <c r="M58" s="328" t="e">
        <f>L58/Stoff!$F58</f>
        <v>#VALUE!</v>
      </c>
    </row>
    <row r="59" spans="1:13" x14ac:dyDescent="0.35">
      <c r="A59" s="239" t="s">
        <v>151</v>
      </c>
      <c r="B59" s="318" t="e">
        <f>Mellomregninger!O59</f>
        <v>#VALUE!</v>
      </c>
      <c r="C59" s="333" t="str">
        <f>Mellomregninger!J59</f>
        <v/>
      </c>
      <c r="D59" s="318" t="e">
        <f>Mellomregninger!BB59</f>
        <v>#VALUE!</v>
      </c>
      <c r="E59" s="318" t="e">
        <f>Mellomregninger!BN59</f>
        <v>#VALUE!</v>
      </c>
      <c r="F59" s="318" t="e">
        <f>Mellomregninger!BZ59</f>
        <v>#VALUE!</v>
      </c>
      <c r="G59" s="328" t="e">
        <f>C59/Stoff!$F59</f>
        <v>#VALUE!</v>
      </c>
      <c r="H59" s="328" t="e">
        <f>D59/Stoff!$F59</f>
        <v>#VALUE!</v>
      </c>
      <c r="I59" s="328" t="e">
        <f>E59/Stoff!$F59</f>
        <v>#VALUE!</v>
      </c>
      <c r="J59" s="328" t="e">
        <f>F59/Stoff!$F59</f>
        <v>#VALUE!</v>
      </c>
      <c r="K59" s="328" t="e">
        <f>IF(L59=Mellomregninger!AD59,Mellomregninger!V59,Mellomregninger!AH59)</f>
        <v>#VALUE!</v>
      </c>
      <c r="L59" s="320" t="e">
        <f>IF(ISNUMBER(Mellomregninger!AP59),IF(Mellomregninger!AP59&gt;Mellomregninger!AD59,Mellomregninger!AP59,Mellomregninger!AD59),Mellomregninger!AD59)</f>
        <v>#VALUE!</v>
      </c>
      <c r="M59" s="328" t="e">
        <f>L59/Stoff!$F59</f>
        <v>#VALUE!</v>
      </c>
    </row>
    <row r="60" spans="1:13" x14ac:dyDescent="0.35">
      <c r="A60" s="239" t="s">
        <v>150</v>
      </c>
      <c r="B60" s="318" t="e">
        <f>Mellomregninger!O60</f>
        <v>#VALUE!</v>
      </c>
      <c r="C60" s="333" t="str">
        <f>Mellomregninger!J60</f>
        <v/>
      </c>
      <c r="D60" s="318" t="e">
        <f>Mellomregninger!BB60</f>
        <v>#VALUE!</v>
      </c>
      <c r="E60" s="318" t="e">
        <f>Mellomregninger!BN60</f>
        <v>#VALUE!</v>
      </c>
      <c r="F60" s="318" t="e">
        <f>Mellomregninger!BZ60</f>
        <v>#VALUE!</v>
      </c>
      <c r="G60" s="328" t="e">
        <f>C60/Stoff!$F60</f>
        <v>#VALUE!</v>
      </c>
      <c r="H60" s="328" t="e">
        <f>D60/Stoff!$F60</f>
        <v>#VALUE!</v>
      </c>
      <c r="I60" s="328" t="e">
        <f>E60/Stoff!$F60</f>
        <v>#VALUE!</v>
      </c>
      <c r="J60" s="328" t="e">
        <f>F60/Stoff!$F60</f>
        <v>#VALUE!</v>
      </c>
      <c r="K60" s="328" t="e">
        <f>IF(L60=Mellomregninger!AD60,Mellomregninger!V60,Mellomregninger!AH60)</f>
        <v>#VALUE!</v>
      </c>
      <c r="L60" s="320" t="e">
        <f>IF(ISNUMBER(Mellomregninger!AP60),IF(Mellomregninger!AP60&gt;Mellomregninger!AD60,Mellomregninger!AP60,Mellomregninger!AD60),Mellomregninger!AD60)</f>
        <v>#VALUE!</v>
      </c>
      <c r="M60" s="328" t="e">
        <f>L60/Stoff!$F60</f>
        <v>#VALUE!</v>
      </c>
    </row>
    <row r="61" spans="1:13" x14ac:dyDescent="0.35">
      <c r="A61" s="239" t="s">
        <v>149</v>
      </c>
      <c r="B61" s="318" t="e">
        <f>Mellomregninger!O61</f>
        <v>#VALUE!</v>
      </c>
      <c r="C61" s="333" t="str">
        <f>Mellomregninger!J61</f>
        <v/>
      </c>
      <c r="D61" s="318" t="e">
        <f>Mellomregninger!BB61</f>
        <v>#VALUE!</v>
      </c>
      <c r="E61" s="318" t="e">
        <f>Mellomregninger!BN61</f>
        <v>#VALUE!</v>
      </c>
      <c r="F61" s="318" t="e">
        <f>Mellomregninger!BZ61</f>
        <v>#VALUE!</v>
      </c>
      <c r="G61" s="328" t="e">
        <f>C61/Stoff!$F61</f>
        <v>#VALUE!</v>
      </c>
      <c r="H61" s="328" t="e">
        <f>D61/Stoff!$F61</f>
        <v>#VALUE!</v>
      </c>
      <c r="I61" s="328" t="e">
        <f>E61/Stoff!$F61</f>
        <v>#VALUE!</v>
      </c>
      <c r="J61" s="328" t="e">
        <f>F61/Stoff!$F61</f>
        <v>#VALUE!</v>
      </c>
      <c r="K61" s="328" t="e">
        <f>IF(L61=Mellomregninger!AD61,Mellomregninger!V61,Mellomregninger!AH61)</f>
        <v>#VALUE!</v>
      </c>
      <c r="L61" s="320" t="e">
        <f>IF(ISNUMBER(Mellomregninger!AP61),IF(Mellomregninger!AP61&gt;Mellomregninger!AD61,Mellomregninger!AP61,Mellomregninger!AD61),Mellomregninger!AD61)</f>
        <v>#VALUE!</v>
      </c>
      <c r="M61" s="328" t="e">
        <f>L61/Stoff!$F61</f>
        <v>#VALUE!</v>
      </c>
    </row>
    <row r="62" spans="1:13" x14ac:dyDescent="0.35">
      <c r="A62" s="239" t="s">
        <v>148</v>
      </c>
      <c r="B62" s="318" t="e">
        <f>Mellomregninger!O62</f>
        <v>#VALUE!</v>
      </c>
      <c r="C62" s="333" t="str">
        <f>Mellomregninger!J62</f>
        <v/>
      </c>
      <c r="D62" s="318" t="e">
        <f>Mellomregninger!BB62</f>
        <v>#VALUE!</v>
      </c>
      <c r="E62" s="318" t="e">
        <f>Mellomregninger!BN62</f>
        <v>#VALUE!</v>
      </c>
      <c r="F62" s="318" t="e">
        <f>Mellomregninger!BZ62</f>
        <v>#VALUE!</v>
      </c>
      <c r="G62" s="328" t="e">
        <f>C62/Stoff!$F62</f>
        <v>#VALUE!</v>
      </c>
      <c r="H62" s="328" t="e">
        <f>D62/Stoff!$F62</f>
        <v>#VALUE!</v>
      </c>
      <c r="I62" s="328" t="e">
        <f>E62/Stoff!$F62</f>
        <v>#VALUE!</v>
      </c>
      <c r="J62" s="328" t="e">
        <f>F62/Stoff!$F62</f>
        <v>#VALUE!</v>
      </c>
      <c r="K62" s="328" t="e">
        <f>IF(L62=Mellomregninger!AD62,Mellomregninger!V62,Mellomregninger!AH62)</f>
        <v>#VALUE!</v>
      </c>
      <c r="L62" s="320" t="e">
        <f>IF(ISNUMBER(Mellomregninger!AP62),IF(Mellomregninger!AP62&gt;Mellomregninger!AD62,Mellomregninger!AP62,Mellomregninger!AD62),Mellomregninger!AD62)</f>
        <v>#VALUE!</v>
      </c>
      <c r="M62" s="328" t="e">
        <f>L62/Stoff!$F62</f>
        <v>#VALUE!</v>
      </c>
    </row>
    <row r="63" spans="1:13" x14ac:dyDescent="0.35">
      <c r="A63" s="239" t="s">
        <v>147</v>
      </c>
      <c r="B63" s="318" t="e">
        <f>Mellomregninger!O63</f>
        <v>#VALUE!</v>
      </c>
      <c r="C63" s="333" t="str">
        <f>Mellomregninger!J63</f>
        <v/>
      </c>
      <c r="D63" s="318" t="e">
        <f>Mellomregninger!BB63</f>
        <v>#VALUE!</v>
      </c>
      <c r="E63" s="318" t="e">
        <f>Mellomregninger!BN63</f>
        <v>#VALUE!</v>
      </c>
      <c r="F63" s="318" t="e">
        <f>Mellomregninger!BZ63</f>
        <v>#VALUE!</v>
      </c>
      <c r="G63" s="328" t="e">
        <f>C63/Stoff!$F63</f>
        <v>#VALUE!</v>
      </c>
      <c r="H63" s="328" t="e">
        <f>D63/Stoff!$F63</f>
        <v>#VALUE!</v>
      </c>
      <c r="I63" s="328" t="e">
        <f>E63/Stoff!$F63</f>
        <v>#VALUE!</v>
      </c>
      <c r="J63" s="328" t="e">
        <f>F63/Stoff!$F63</f>
        <v>#VALUE!</v>
      </c>
      <c r="K63" s="328" t="e">
        <f>IF(L63=Mellomregninger!AD63,Mellomregninger!V63,Mellomregninger!AH63)</f>
        <v>#VALUE!</v>
      </c>
      <c r="L63" s="320" t="e">
        <f>IF(ISNUMBER(Mellomregninger!AP63),IF(Mellomregninger!AP63&gt;Mellomregninger!AD63,Mellomregninger!AP63,Mellomregninger!AD63),Mellomregninger!AD63)</f>
        <v>#VALUE!</v>
      </c>
      <c r="M63" s="328" t="e">
        <f>L63/Stoff!$F63</f>
        <v>#VALUE!</v>
      </c>
    </row>
    <row r="64" spans="1:13" x14ac:dyDescent="0.35">
      <c r="A64" s="239" t="s">
        <v>146</v>
      </c>
      <c r="B64" s="318" t="e">
        <f>Mellomregninger!O64</f>
        <v>#VALUE!</v>
      </c>
      <c r="C64" s="333" t="str">
        <f>Mellomregninger!J64</f>
        <v/>
      </c>
      <c r="D64" s="318" t="e">
        <f>Mellomregninger!BB64</f>
        <v>#VALUE!</v>
      </c>
      <c r="E64" s="318" t="e">
        <f>Mellomregninger!BN64</f>
        <v>#VALUE!</v>
      </c>
      <c r="F64" s="318" t="e">
        <f>Mellomregninger!BZ64</f>
        <v>#VALUE!</v>
      </c>
      <c r="G64" s="328" t="e">
        <f>C64/Stoff!$F64</f>
        <v>#VALUE!</v>
      </c>
      <c r="H64" s="328" t="e">
        <f>D64/Stoff!$F64</f>
        <v>#VALUE!</v>
      </c>
      <c r="I64" s="328" t="e">
        <f>E64/Stoff!$F64</f>
        <v>#VALUE!</v>
      </c>
      <c r="J64" s="328" t="e">
        <f>F64/Stoff!$F64</f>
        <v>#VALUE!</v>
      </c>
      <c r="K64" s="328" t="e">
        <f>IF(L64=Mellomregninger!AD64,Mellomregninger!V64,Mellomregninger!AH64)</f>
        <v>#VALUE!</v>
      </c>
      <c r="L64" s="320" t="e">
        <f>IF(ISNUMBER(Mellomregninger!AP64),IF(Mellomregninger!AP64&gt;Mellomregninger!AD64,Mellomregninger!AP64,Mellomregninger!AD64),Mellomregninger!AD64)</f>
        <v>#VALUE!</v>
      </c>
      <c r="M64" s="328" t="e">
        <f>L64/Stoff!$F64</f>
        <v>#VALUE!</v>
      </c>
    </row>
    <row r="65" spans="1:13" x14ac:dyDescent="0.35">
      <c r="A65" s="239" t="s">
        <v>145</v>
      </c>
      <c r="B65" s="318" t="e">
        <f>Mellomregninger!O65</f>
        <v>#VALUE!</v>
      </c>
      <c r="C65" s="333" t="str">
        <f>Mellomregninger!J65</f>
        <v/>
      </c>
      <c r="D65" s="318" t="e">
        <f>Mellomregninger!BB65</f>
        <v>#VALUE!</v>
      </c>
      <c r="E65" s="318" t="e">
        <f>Mellomregninger!BN65</f>
        <v>#VALUE!</v>
      </c>
      <c r="F65" s="318" t="e">
        <f>Mellomregninger!BZ65</f>
        <v>#VALUE!</v>
      </c>
      <c r="G65" s="328" t="e">
        <f>C65/Stoff!$F65</f>
        <v>#VALUE!</v>
      </c>
      <c r="H65" s="328" t="e">
        <f>D65/Stoff!$F65</f>
        <v>#VALUE!</v>
      </c>
      <c r="I65" s="328" t="e">
        <f>E65/Stoff!$F65</f>
        <v>#VALUE!</v>
      </c>
      <c r="J65" s="328" t="e">
        <f>F65/Stoff!$F65</f>
        <v>#VALUE!</v>
      </c>
      <c r="K65" s="328" t="e">
        <f>IF(L65=Mellomregninger!AD65,Mellomregninger!V65,Mellomregninger!AH65)</f>
        <v>#VALUE!</v>
      </c>
      <c r="L65" s="320" t="e">
        <f>IF(ISNUMBER(Mellomregninger!AP65),IF(Mellomregninger!AP65&gt;Mellomregninger!AD65,Mellomregninger!AP65,Mellomregninger!AD65),Mellomregninger!AD65)</f>
        <v>#VALUE!</v>
      </c>
      <c r="M65" s="328" t="e">
        <f>L65/Stoff!$F65</f>
        <v>#VALUE!</v>
      </c>
    </row>
    <row r="66" spans="1:13" x14ac:dyDescent="0.35">
      <c r="A66" s="239" t="s">
        <v>144</v>
      </c>
      <c r="B66" s="318" t="e">
        <f>Mellomregninger!O66</f>
        <v>#VALUE!</v>
      </c>
      <c r="C66" s="333" t="str">
        <f>Mellomregninger!J66</f>
        <v/>
      </c>
      <c r="D66" s="318" t="e">
        <f>Mellomregninger!BB66</f>
        <v>#VALUE!</v>
      </c>
      <c r="E66" s="318" t="e">
        <f>Mellomregninger!BN66</f>
        <v>#VALUE!</v>
      </c>
      <c r="F66" s="318" t="e">
        <f>Mellomregninger!BZ66</f>
        <v>#VALUE!</v>
      </c>
      <c r="G66" s="328" t="e">
        <f>C66/Stoff!$F66</f>
        <v>#VALUE!</v>
      </c>
      <c r="H66" s="328" t="e">
        <f>D66/Stoff!$F66</f>
        <v>#VALUE!</v>
      </c>
      <c r="I66" s="328" t="e">
        <f>E66/Stoff!$F66</f>
        <v>#VALUE!</v>
      </c>
      <c r="J66" s="328" t="e">
        <f>F66/Stoff!$F66</f>
        <v>#VALUE!</v>
      </c>
      <c r="K66" s="328" t="e">
        <f>IF(L66=Mellomregninger!AD66,Mellomregninger!V66,Mellomregninger!AH66)</f>
        <v>#VALUE!</v>
      </c>
      <c r="L66" s="320" t="e">
        <f>IF(ISNUMBER(Mellomregninger!AP66),IF(Mellomregninger!AP66&gt;Mellomregninger!AD66,Mellomregninger!AP66,Mellomregninger!AD66),Mellomregninger!AD66)</f>
        <v>#VALUE!</v>
      </c>
      <c r="M66" s="328" t="e">
        <f>L66/Stoff!$F66</f>
        <v>#VALUE!</v>
      </c>
    </row>
    <row r="67" spans="1:13" x14ac:dyDescent="0.35">
      <c r="A67" s="239" t="s">
        <v>143</v>
      </c>
      <c r="B67" s="318" t="e">
        <f>Mellomregninger!O67</f>
        <v>#VALUE!</v>
      </c>
      <c r="C67" s="333" t="str">
        <f>Mellomregninger!J67</f>
        <v/>
      </c>
      <c r="D67" s="318" t="e">
        <f>Mellomregninger!BB67</f>
        <v>#VALUE!</v>
      </c>
      <c r="E67" s="318" t="e">
        <f>Mellomregninger!BN67</f>
        <v>#VALUE!</v>
      </c>
      <c r="F67" s="318" t="e">
        <f>Mellomregninger!BZ67</f>
        <v>#VALUE!</v>
      </c>
      <c r="G67" s="328" t="e">
        <f>C67/Stoff!$F67</f>
        <v>#VALUE!</v>
      </c>
      <c r="H67" s="328" t="e">
        <f>D67/Stoff!$F67</f>
        <v>#VALUE!</v>
      </c>
      <c r="I67" s="328" t="e">
        <f>E67/Stoff!$F67</f>
        <v>#VALUE!</v>
      </c>
      <c r="J67" s="328" t="e">
        <f>F67/Stoff!$F67</f>
        <v>#VALUE!</v>
      </c>
      <c r="K67" s="328" t="e">
        <f>IF(L67=Mellomregninger!AD67,Mellomregninger!V67,Mellomregninger!AH67)</f>
        <v>#VALUE!</v>
      </c>
      <c r="L67" s="320" t="e">
        <f>IF(ISNUMBER(Mellomregninger!AP67),IF(Mellomregninger!AP67&gt;Mellomregninger!AD67,Mellomregninger!AP67,Mellomregninger!AD67),Mellomregninger!AD67)</f>
        <v>#VALUE!</v>
      </c>
      <c r="M67" s="328" t="e">
        <f>L67/Stoff!$F67</f>
        <v>#VALUE!</v>
      </c>
    </row>
    <row r="68" spans="1:13" x14ac:dyDescent="0.35">
      <c r="A68" s="239" t="s">
        <v>142</v>
      </c>
      <c r="B68" s="318" t="e">
        <f>Mellomregninger!O68</f>
        <v>#VALUE!</v>
      </c>
      <c r="C68" s="333" t="str">
        <f>Mellomregninger!J68</f>
        <v/>
      </c>
      <c r="D68" s="318" t="e">
        <f>Mellomregninger!BB68</f>
        <v>#VALUE!</v>
      </c>
      <c r="E68" s="318" t="e">
        <f>Mellomregninger!BN68</f>
        <v>#VALUE!</v>
      </c>
      <c r="F68" s="318" t="e">
        <f>Mellomregninger!BZ68</f>
        <v>#VALUE!</v>
      </c>
      <c r="G68" s="328" t="e">
        <f>C68/Stoff!$F68</f>
        <v>#VALUE!</v>
      </c>
      <c r="H68" s="328" t="e">
        <f>D68/Stoff!$F68</f>
        <v>#VALUE!</v>
      </c>
      <c r="I68" s="328" t="e">
        <f>E68/Stoff!$F68</f>
        <v>#VALUE!</v>
      </c>
      <c r="J68" s="328" t="e">
        <f>F68/Stoff!$F68</f>
        <v>#VALUE!</v>
      </c>
      <c r="K68" s="328" t="e">
        <f>IF(L68=Mellomregninger!AD68,Mellomregninger!V68,Mellomregninger!AH68)</f>
        <v>#VALUE!</v>
      </c>
      <c r="L68" s="320" t="e">
        <f>IF(ISNUMBER(Mellomregninger!AP68),IF(Mellomregninger!AP68&gt;Mellomregninger!AD68,Mellomregninger!AP68,Mellomregninger!AD68),Mellomregninger!AD68)</f>
        <v>#VALUE!</v>
      </c>
      <c r="M68" s="328" t="e">
        <f>L68/Stoff!$F68</f>
        <v>#VALUE!</v>
      </c>
    </row>
    <row r="69" spans="1:13" x14ac:dyDescent="0.35">
      <c r="A69" s="239" t="s">
        <v>141</v>
      </c>
      <c r="B69" s="318" t="e">
        <f>Mellomregninger!O69</f>
        <v>#VALUE!</v>
      </c>
      <c r="C69" s="333" t="str">
        <f>Mellomregninger!J69</f>
        <v/>
      </c>
      <c r="D69" s="318" t="e">
        <f>Mellomregninger!BB69</f>
        <v>#VALUE!</v>
      </c>
      <c r="E69" s="318" t="e">
        <f>Mellomregninger!BN69</f>
        <v>#VALUE!</v>
      </c>
      <c r="F69" s="318" t="e">
        <f>Mellomregninger!BZ69</f>
        <v>#VALUE!</v>
      </c>
      <c r="G69" s="328" t="e">
        <f>C69/Stoff!$F69</f>
        <v>#VALUE!</v>
      </c>
      <c r="H69" s="328" t="e">
        <f>D69/Stoff!$F69</f>
        <v>#VALUE!</v>
      </c>
      <c r="I69" s="328" t="e">
        <f>E69/Stoff!$F69</f>
        <v>#VALUE!</v>
      </c>
      <c r="J69" s="328" t="e">
        <f>F69/Stoff!$F69</f>
        <v>#VALUE!</v>
      </c>
      <c r="K69" s="328" t="e">
        <f>IF(L69=Mellomregninger!AD69,Mellomregninger!V69,Mellomregninger!AH69)</f>
        <v>#VALUE!</v>
      </c>
      <c r="L69" s="320" t="e">
        <f>IF(ISNUMBER(Mellomregninger!AP69),IF(Mellomregninger!AP69&gt;Mellomregninger!AD69,Mellomregninger!AP69,Mellomregninger!AD69),Mellomregninger!AD69)</f>
        <v>#VALUE!</v>
      </c>
      <c r="M69" s="328" t="e">
        <f>L69/Stoff!$F69</f>
        <v>#VALUE!</v>
      </c>
    </row>
    <row r="70" spans="1:13" x14ac:dyDescent="0.35">
      <c r="A70" s="239" t="s">
        <v>140</v>
      </c>
      <c r="B70" s="318" t="e">
        <f>Mellomregninger!O70</f>
        <v>#VALUE!</v>
      </c>
      <c r="C70" s="333" t="str">
        <f>Mellomregninger!J70</f>
        <v/>
      </c>
      <c r="D70" s="318" t="e">
        <f>Mellomregninger!BB70</f>
        <v>#VALUE!</v>
      </c>
      <c r="E70" s="318" t="e">
        <f>Mellomregninger!BN70</f>
        <v>#VALUE!</v>
      </c>
      <c r="F70" s="318" t="e">
        <f>Mellomregninger!BZ70</f>
        <v>#VALUE!</v>
      </c>
      <c r="G70" s="328" t="e">
        <f>C70/Stoff!$F70</f>
        <v>#VALUE!</v>
      </c>
      <c r="H70" s="328" t="e">
        <f>D70/Stoff!$F70</f>
        <v>#VALUE!</v>
      </c>
      <c r="I70" s="328" t="e">
        <f>E70/Stoff!$F70</f>
        <v>#VALUE!</v>
      </c>
      <c r="J70" s="328" t="e">
        <f>F70/Stoff!$F70</f>
        <v>#VALUE!</v>
      </c>
      <c r="K70" s="328" t="e">
        <f>IF(L70=Mellomregninger!AD70,Mellomregninger!V70,Mellomregninger!AH70)</f>
        <v>#VALUE!</v>
      </c>
      <c r="L70" s="320" t="e">
        <f>IF(ISNUMBER(Mellomregninger!AP70),IF(Mellomregninger!AP70&gt;Mellomregninger!AD70,Mellomregninger!AP70,Mellomregninger!AD70),Mellomregninger!AD70)</f>
        <v>#VALUE!</v>
      </c>
      <c r="M70" s="328" t="e">
        <f>L70/Stoff!$F70</f>
        <v>#VALUE!</v>
      </c>
    </row>
    <row r="71" spans="1:13" x14ac:dyDescent="0.35">
      <c r="A71" s="239" t="s">
        <v>139</v>
      </c>
      <c r="B71" s="318" t="e">
        <f>Mellomregninger!O71</f>
        <v>#VALUE!</v>
      </c>
      <c r="C71" s="333" t="str">
        <f>Mellomregninger!J71</f>
        <v/>
      </c>
      <c r="D71" s="318" t="e">
        <f>Mellomregninger!BB71</f>
        <v>#VALUE!</v>
      </c>
      <c r="E71" s="318" t="e">
        <f>Mellomregninger!BN71</f>
        <v>#VALUE!</v>
      </c>
      <c r="F71" s="318" t="e">
        <f>Mellomregninger!BZ71</f>
        <v>#VALUE!</v>
      </c>
      <c r="G71" s="328" t="e">
        <f>C71/Stoff!$F71</f>
        <v>#VALUE!</v>
      </c>
      <c r="H71" s="328" t="e">
        <f>D71/Stoff!$F71</f>
        <v>#VALUE!</v>
      </c>
      <c r="I71" s="328" t="e">
        <f>E71/Stoff!$F71</f>
        <v>#VALUE!</v>
      </c>
      <c r="J71" s="328" t="e">
        <f>F71/Stoff!$F71</f>
        <v>#VALUE!</v>
      </c>
      <c r="K71" s="328" t="e">
        <f>IF(L71=Mellomregninger!AD71,Mellomregninger!V71,Mellomregninger!AH71)</f>
        <v>#VALUE!</v>
      </c>
      <c r="L71" s="320" t="e">
        <f>IF(ISNUMBER(Mellomregninger!AP71),IF(Mellomregninger!AP71&gt;Mellomregninger!AD71,Mellomregninger!AP71,Mellomregninger!AD71),Mellomregninger!AD71)</f>
        <v>#VALUE!</v>
      </c>
      <c r="M71" s="328" t="e">
        <f>L71/Stoff!$F71</f>
        <v>#VALUE!</v>
      </c>
    </row>
    <row r="72" spans="1:13" x14ac:dyDescent="0.35">
      <c r="A72" s="239" t="s">
        <v>138</v>
      </c>
      <c r="B72" s="318" t="e">
        <f>Mellomregninger!O72</f>
        <v>#VALUE!</v>
      </c>
      <c r="C72" s="333" t="str">
        <f>Mellomregninger!J72</f>
        <v/>
      </c>
      <c r="D72" s="318" t="e">
        <f>Mellomregninger!BB72</f>
        <v>#VALUE!</v>
      </c>
      <c r="E72" s="318" t="e">
        <f>Mellomregninger!BN72</f>
        <v>#VALUE!</v>
      </c>
      <c r="F72" s="318" t="e">
        <f>Mellomregninger!BZ72</f>
        <v>#VALUE!</v>
      </c>
      <c r="G72" s="328" t="e">
        <f>C72/Stoff!$F72</f>
        <v>#VALUE!</v>
      </c>
      <c r="H72" s="328" t="e">
        <f>D72/Stoff!$F72</f>
        <v>#VALUE!</v>
      </c>
      <c r="I72" s="328" t="e">
        <f>E72/Stoff!$F72</f>
        <v>#VALUE!</v>
      </c>
      <c r="J72" s="328" t="e">
        <f>F72/Stoff!$F72</f>
        <v>#VALUE!</v>
      </c>
      <c r="K72" s="328" t="e">
        <f>IF(L72=Mellomregninger!AD72,Mellomregninger!V72,Mellomregninger!AH72)</f>
        <v>#VALUE!</v>
      </c>
      <c r="L72" s="320" t="e">
        <f>IF(ISNUMBER(Mellomregninger!AP72),IF(Mellomregninger!AP72&gt;Mellomregninger!AD72,Mellomregninger!AP72,Mellomregninger!AD72),Mellomregninger!AD72)</f>
        <v>#VALUE!</v>
      </c>
      <c r="M72" s="328" t="e">
        <f>L72/Stoff!$F72</f>
        <v>#VALUE!</v>
      </c>
    </row>
    <row r="73" spans="1:13" x14ac:dyDescent="0.35">
      <c r="A73" s="239" t="s">
        <v>136</v>
      </c>
      <c r="B73" s="318" t="e">
        <f>Mellomregninger!O73</f>
        <v>#VALUE!</v>
      </c>
      <c r="C73" s="333" t="str">
        <f>Mellomregninger!J73</f>
        <v/>
      </c>
      <c r="D73" s="318" t="e">
        <f>Mellomregninger!BB73</f>
        <v>#VALUE!</v>
      </c>
      <c r="E73" s="318" t="e">
        <f>Mellomregninger!BN73</f>
        <v>#VALUE!</v>
      </c>
      <c r="F73" s="318" t="e">
        <f>Mellomregninger!BZ73</f>
        <v>#VALUE!</v>
      </c>
      <c r="G73" s="328" t="e">
        <f>C73/Stoff!$F73</f>
        <v>#VALUE!</v>
      </c>
      <c r="H73" s="328" t="e">
        <f>D73/Stoff!$F73</f>
        <v>#VALUE!</v>
      </c>
      <c r="I73" s="328" t="e">
        <f>E73/Stoff!$F73</f>
        <v>#VALUE!</v>
      </c>
      <c r="J73" s="328" t="e">
        <f>F73/Stoff!$F73</f>
        <v>#VALUE!</v>
      </c>
      <c r="K73" s="328" t="e">
        <f>IF(L73=Mellomregninger!AD73,Mellomregninger!V73,Mellomregninger!AH73)</f>
        <v>#VALUE!</v>
      </c>
      <c r="L73" s="320" t="e">
        <f>IF(ISNUMBER(Mellomregninger!AP73),IF(Mellomregninger!AP73&gt;Mellomregninger!AD73,Mellomregninger!AP73,Mellomregninger!AD73),Mellomregninger!AD73)</f>
        <v>#VALUE!</v>
      </c>
      <c r="M73" s="328" t="e">
        <f>L73/Stoff!$F73</f>
        <v>#VALUE!</v>
      </c>
    </row>
    <row r="74" spans="1:13" x14ac:dyDescent="0.35">
      <c r="A74" s="239" t="s">
        <v>135</v>
      </c>
      <c r="B74" s="318" t="e">
        <f>Mellomregninger!O74</f>
        <v>#VALUE!</v>
      </c>
      <c r="C74" s="333" t="str">
        <f>Mellomregninger!J74</f>
        <v/>
      </c>
      <c r="D74" s="318" t="e">
        <f>Mellomregninger!BB74</f>
        <v>#VALUE!</v>
      </c>
      <c r="E74" s="318" t="e">
        <f>Mellomregninger!BN74</f>
        <v>#VALUE!</v>
      </c>
      <c r="F74" s="318" t="e">
        <f>Mellomregninger!BZ74</f>
        <v>#VALUE!</v>
      </c>
      <c r="G74" s="328" t="e">
        <f>C74/Stoff!$F74</f>
        <v>#VALUE!</v>
      </c>
      <c r="H74" s="328" t="e">
        <f>D74/Stoff!$F74</f>
        <v>#VALUE!</v>
      </c>
      <c r="I74" s="328" t="e">
        <f>E74/Stoff!$F74</f>
        <v>#VALUE!</v>
      </c>
      <c r="J74" s="328" t="e">
        <f>F74/Stoff!$F74</f>
        <v>#VALUE!</v>
      </c>
      <c r="K74" s="328" t="e">
        <f>IF(L74=Mellomregninger!AD74,Mellomregninger!V74,Mellomregninger!AH74)</f>
        <v>#VALUE!</v>
      </c>
      <c r="L74" s="320" t="e">
        <f>IF(ISNUMBER(Mellomregninger!AP74),IF(Mellomregninger!AP74&gt;Mellomregninger!AD74,Mellomregninger!AP74,Mellomregninger!AD74),Mellomregninger!AD74)</f>
        <v>#VALUE!</v>
      </c>
      <c r="M74" s="328" t="e">
        <f>L74/Stoff!$F74</f>
        <v>#VALUE!</v>
      </c>
    </row>
    <row r="75" spans="1:13" x14ac:dyDescent="0.35">
      <c r="A75" s="239" t="s">
        <v>134</v>
      </c>
      <c r="B75" s="318" t="e">
        <f>Mellomregninger!O75</f>
        <v>#VALUE!</v>
      </c>
      <c r="C75" s="333" t="str">
        <f>Mellomregninger!J75</f>
        <v/>
      </c>
      <c r="D75" s="318" t="e">
        <f>Mellomregninger!BB75</f>
        <v>#VALUE!</v>
      </c>
      <c r="E75" s="318" t="e">
        <f>Mellomregninger!BN75</f>
        <v>#VALUE!</v>
      </c>
      <c r="F75" s="318" t="e">
        <f>Mellomregninger!BZ75</f>
        <v>#VALUE!</v>
      </c>
      <c r="G75" s="328" t="e">
        <f>C75/Stoff!$F75</f>
        <v>#VALUE!</v>
      </c>
      <c r="H75" s="328" t="e">
        <f>D75/Stoff!$F75</f>
        <v>#VALUE!</v>
      </c>
      <c r="I75" s="328" t="e">
        <f>E75/Stoff!$F75</f>
        <v>#VALUE!</v>
      </c>
      <c r="J75" s="328" t="e">
        <f>F75/Stoff!$F75</f>
        <v>#VALUE!</v>
      </c>
      <c r="K75" s="328" t="e">
        <f>IF(L75=Mellomregninger!AD75,Mellomregninger!V75,Mellomregninger!AH75)</f>
        <v>#VALUE!</v>
      </c>
      <c r="L75" s="320" t="e">
        <f>IF(ISNUMBER(Mellomregninger!AP75),IF(Mellomregninger!AP75&gt;Mellomregninger!AD75,Mellomregninger!AP75,Mellomregninger!AD75),Mellomregninger!AD75)</f>
        <v>#VALUE!</v>
      </c>
      <c r="M75" s="328" t="e">
        <f>L75/Stoff!$F75</f>
        <v>#VALUE!</v>
      </c>
    </row>
    <row r="76" spans="1:13" x14ac:dyDescent="0.35">
      <c r="A76" s="239" t="s">
        <v>133</v>
      </c>
      <c r="B76" s="318" t="e">
        <f>Mellomregninger!O76</f>
        <v>#VALUE!</v>
      </c>
      <c r="C76" s="333" t="str">
        <f>Mellomregninger!J76</f>
        <v/>
      </c>
      <c r="D76" s="318" t="e">
        <f>Mellomregninger!BB76</f>
        <v>#VALUE!</v>
      </c>
      <c r="E76" s="318" t="e">
        <f>Mellomregninger!BN76</f>
        <v>#VALUE!</v>
      </c>
      <c r="F76" s="318" t="e">
        <f>Mellomregninger!BZ76</f>
        <v>#VALUE!</v>
      </c>
      <c r="G76" s="328" t="e">
        <f>C76/Stoff!$F76</f>
        <v>#VALUE!</v>
      </c>
      <c r="H76" s="328" t="e">
        <f>D76/Stoff!$F76</f>
        <v>#VALUE!</v>
      </c>
      <c r="I76" s="328" t="e">
        <f>E76/Stoff!$F76</f>
        <v>#VALUE!</v>
      </c>
      <c r="J76" s="328" t="e">
        <f>F76/Stoff!$F76</f>
        <v>#VALUE!</v>
      </c>
      <c r="K76" s="328" t="e">
        <f>IF(L76=Mellomregninger!AD76,Mellomregninger!V76,Mellomregninger!AH76)</f>
        <v>#VALUE!</v>
      </c>
      <c r="L76" s="320" t="e">
        <f>IF(ISNUMBER(Mellomregninger!AP76),IF(Mellomregninger!AP76&gt;Mellomregninger!AD76,Mellomregninger!AP76,Mellomregninger!AD76),Mellomregninger!AD76)</f>
        <v>#VALUE!</v>
      </c>
      <c r="M76" s="328" t="e">
        <f>L76/Stoff!$F76</f>
        <v>#VALUE!</v>
      </c>
    </row>
    <row r="77" spans="1:13" x14ac:dyDescent="0.35">
      <c r="A77" s="239" t="s">
        <v>132</v>
      </c>
      <c r="B77" s="318" t="e">
        <f>Mellomregninger!O77</f>
        <v>#VALUE!</v>
      </c>
      <c r="C77" s="333" t="str">
        <f>Mellomregninger!J77</f>
        <v/>
      </c>
      <c r="D77" s="318" t="e">
        <f>Mellomregninger!BB77</f>
        <v>#VALUE!</v>
      </c>
      <c r="E77" s="318" t="e">
        <f>Mellomregninger!BN77</f>
        <v>#VALUE!</v>
      </c>
      <c r="F77" s="318" t="e">
        <f>Mellomregninger!BZ77</f>
        <v>#VALUE!</v>
      </c>
      <c r="G77" s="328" t="e">
        <f>C77/Stoff!$F77</f>
        <v>#VALUE!</v>
      </c>
      <c r="H77" s="328" t="e">
        <f>D77/Stoff!$F77</f>
        <v>#VALUE!</v>
      </c>
      <c r="I77" s="328" t="e">
        <f>E77/Stoff!$F77</f>
        <v>#VALUE!</v>
      </c>
      <c r="J77" s="328" t="e">
        <f>F77/Stoff!$F77</f>
        <v>#VALUE!</v>
      </c>
      <c r="K77" s="328" t="e">
        <f>IF(L77=Mellomregninger!AD77,Mellomregninger!V77,Mellomregninger!AH77)</f>
        <v>#VALUE!</v>
      </c>
      <c r="L77" s="320" t="e">
        <f>IF(ISNUMBER(Mellomregninger!AP77),IF(Mellomregninger!AP77&gt;Mellomregninger!AD77,Mellomregninger!AP77,Mellomregninger!AD77),Mellomregninger!AD77)</f>
        <v>#VALUE!</v>
      </c>
      <c r="M77" s="328" t="e">
        <f>L77/Stoff!$F77</f>
        <v>#VALUE!</v>
      </c>
    </row>
    <row r="78" spans="1:13" x14ac:dyDescent="0.35">
      <c r="A78" s="239" t="s">
        <v>131</v>
      </c>
      <c r="B78" s="318" t="e">
        <f>Mellomregninger!O78</f>
        <v>#VALUE!</v>
      </c>
      <c r="C78" s="333" t="str">
        <f>Mellomregninger!J78</f>
        <v/>
      </c>
      <c r="D78" s="318" t="e">
        <f>Mellomregninger!BB78</f>
        <v>#VALUE!</v>
      </c>
      <c r="E78" s="318" t="e">
        <f>Mellomregninger!BN78</f>
        <v>#VALUE!</v>
      </c>
      <c r="F78" s="318" t="e">
        <f>Mellomregninger!BZ78</f>
        <v>#VALUE!</v>
      </c>
      <c r="G78" s="328" t="e">
        <f>C78/Stoff!$F78</f>
        <v>#VALUE!</v>
      </c>
      <c r="H78" s="328" t="e">
        <f>D78/Stoff!$F78</f>
        <v>#VALUE!</v>
      </c>
      <c r="I78" s="328" t="e">
        <f>E78/Stoff!$F78</f>
        <v>#VALUE!</v>
      </c>
      <c r="J78" s="328" t="e">
        <f>F78/Stoff!$F78</f>
        <v>#VALUE!</v>
      </c>
      <c r="K78" s="328" t="e">
        <f>IF(L78=Mellomregninger!AD78,Mellomregninger!V78,Mellomregninger!AH78)</f>
        <v>#VALUE!</v>
      </c>
      <c r="L78" s="320" t="e">
        <f>IF(ISNUMBER(Mellomregninger!AP78),IF(Mellomregninger!AP78&gt;Mellomregninger!AD78,Mellomregninger!AP78,Mellomregninger!AD78),Mellomregninger!AD78)</f>
        <v>#VALUE!</v>
      </c>
      <c r="M78" s="328" t="e">
        <f>L78/Stoff!$F78</f>
        <v>#VALUE!</v>
      </c>
    </row>
    <row r="79" spans="1:13" x14ac:dyDescent="0.35">
      <c r="A79" s="239" t="s">
        <v>130</v>
      </c>
      <c r="B79" s="318" t="e">
        <f>Mellomregninger!O79</f>
        <v>#VALUE!</v>
      </c>
      <c r="C79" s="333" t="str">
        <f>Mellomregninger!J79</f>
        <v/>
      </c>
      <c r="D79" s="318" t="e">
        <f>Mellomregninger!BB79</f>
        <v>#VALUE!</v>
      </c>
      <c r="E79" s="318" t="e">
        <f>Mellomregninger!BN79</f>
        <v>#VALUE!</v>
      </c>
      <c r="F79" s="318" t="e">
        <f>Mellomregninger!BZ79</f>
        <v>#VALUE!</v>
      </c>
      <c r="G79" s="328" t="e">
        <f>C79/Stoff!$F79</f>
        <v>#VALUE!</v>
      </c>
      <c r="H79" s="328" t="e">
        <f>D79/Stoff!$F79</f>
        <v>#VALUE!</v>
      </c>
      <c r="I79" s="328" t="e">
        <f>E79/Stoff!$F79</f>
        <v>#VALUE!</v>
      </c>
      <c r="J79" s="328" t="e">
        <f>F79/Stoff!$F79</f>
        <v>#VALUE!</v>
      </c>
      <c r="K79" s="328" t="e">
        <f>IF(L79=Mellomregninger!AD79,Mellomregninger!V79,Mellomregninger!AH79)</f>
        <v>#VALUE!</v>
      </c>
      <c r="L79" s="320" t="e">
        <f>IF(ISNUMBER(Mellomregninger!AP79),IF(Mellomregninger!AP79&gt;Mellomregninger!AD79,Mellomregninger!AP79,Mellomregninger!AD79),Mellomregninger!AD79)</f>
        <v>#VALUE!</v>
      </c>
      <c r="M79" s="328" t="e">
        <f>L79/Stoff!$F79</f>
        <v>#VALUE!</v>
      </c>
    </row>
    <row r="80" spans="1:13" x14ac:dyDescent="0.35">
      <c r="A80" s="239" t="s">
        <v>129</v>
      </c>
      <c r="B80" s="318" t="e">
        <f>Mellomregninger!O80</f>
        <v>#VALUE!</v>
      </c>
      <c r="C80" s="333" t="str">
        <f>Mellomregninger!J80</f>
        <v/>
      </c>
      <c r="D80" s="318" t="e">
        <f>Mellomregninger!BB80</f>
        <v>#VALUE!</v>
      </c>
      <c r="E80" s="318" t="e">
        <f>Mellomregninger!BN80</f>
        <v>#VALUE!</v>
      </c>
      <c r="F80" s="318" t="e">
        <f>Mellomregninger!BZ80</f>
        <v>#VALUE!</v>
      </c>
      <c r="G80" s="328" t="e">
        <f>C80/Stoff!$F80</f>
        <v>#VALUE!</v>
      </c>
      <c r="H80" s="328" t="e">
        <f>D80/Stoff!$F80</f>
        <v>#VALUE!</v>
      </c>
      <c r="I80" s="328" t="e">
        <f>E80/Stoff!$F80</f>
        <v>#VALUE!</v>
      </c>
      <c r="J80" s="328" t="e">
        <f>F80/Stoff!$F80</f>
        <v>#VALUE!</v>
      </c>
      <c r="K80" s="328" t="e">
        <f>IF(L80=Mellomregninger!AD80,Mellomregninger!V80,Mellomregninger!AH80)</f>
        <v>#VALUE!</v>
      </c>
      <c r="L80" s="320" t="e">
        <f>IF(ISNUMBER(Mellomregninger!AP80),IF(Mellomregninger!AP80&gt;Mellomregninger!AD80,Mellomregninger!AP80,Mellomregninger!AD80),Mellomregninger!AD80)</f>
        <v>#VALUE!</v>
      </c>
      <c r="M80" s="328" t="e">
        <f>L80/Stoff!$F80</f>
        <v>#VALUE!</v>
      </c>
    </row>
    <row r="81" spans="1:13" x14ac:dyDescent="0.35">
      <c r="A81" s="239" t="s">
        <v>128</v>
      </c>
      <c r="B81" s="318" t="e">
        <f>Mellomregninger!O81</f>
        <v>#VALUE!</v>
      </c>
      <c r="C81" s="333" t="str">
        <f>Mellomregninger!J81</f>
        <v/>
      </c>
      <c r="D81" s="318" t="e">
        <f>Mellomregninger!BB81</f>
        <v>#VALUE!</v>
      </c>
      <c r="E81" s="318" t="e">
        <f>Mellomregninger!BN81</f>
        <v>#VALUE!</v>
      </c>
      <c r="F81" s="318" t="e">
        <f>Mellomregninger!BZ81</f>
        <v>#VALUE!</v>
      </c>
      <c r="G81" s="328" t="e">
        <f>C81/Stoff!$F81</f>
        <v>#VALUE!</v>
      </c>
      <c r="H81" s="328" t="e">
        <f>D81/Stoff!$F81</f>
        <v>#VALUE!</v>
      </c>
      <c r="I81" s="328" t="e">
        <f>E81/Stoff!$F81</f>
        <v>#VALUE!</v>
      </c>
      <c r="J81" s="328" t="e">
        <f>F81/Stoff!$F81</f>
        <v>#VALUE!</v>
      </c>
      <c r="K81" s="328" t="e">
        <f>IF(L81=Mellomregninger!AD81,Mellomregninger!V81,Mellomregninger!AH81)</f>
        <v>#VALUE!</v>
      </c>
      <c r="L81" s="320" t="e">
        <f>IF(ISNUMBER(Mellomregninger!AP81),IF(Mellomregninger!AP81&gt;Mellomregninger!AD81,Mellomregninger!AP81,Mellomregninger!AD81),Mellomregninger!AD81)</f>
        <v>#VALUE!</v>
      </c>
      <c r="M81" s="328" t="e">
        <f>L81/Stoff!$F81</f>
        <v>#VALUE!</v>
      </c>
    </row>
    <row r="82" spans="1:13" x14ac:dyDescent="0.35">
      <c r="A82" s="239" t="s">
        <v>127</v>
      </c>
      <c r="B82" s="318" t="e">
        <f>Mellomregninger!O82</f>
        <v>#VALUE!</v>
      </c>
      <c r="C82" s="333" t="str">
        <f>Mellomregninger!J82</f>
        <v/>
      </c>
      <c r="D82" s="318" t="e">
        <f>Mellomregninger!BB82</f>
        <v>#VALUE!</v>
      </c>
      <c r="E82" s="318" t="e">
        <f>Mellomregninger!BN82</f>
        <v>#VALUE!</v>
      </c>
      <c r="F82" s="318" t="e">
        <f>Mellomregninger!BZ82</f>
        <v>#VALUE!</v>
      </c>
      <c r="G82" s="328" t="e">
        <f>C82/Stoff!$F82</f>
        <v>#VALUE!</v>
      </c>
      <c r="H82" s="328" t="e">
        <f>D82/Stoff!$F82</f>
        <v>#VALUE!</v>
      </c>
      <c r="I82" s="328" t="e">
        <f>E82/Stoff!$F82</f>
        <v>#VALUE!</v>
      </c>
      <c r="J82" s="328" t="e">
        <f>F82/Stoff!$F82</f>
        <v>#VALUE!</v>
      </c>
      <c r="K82" s="328" t="e">
        <f>IF(L82=Mellomregninger!AD82,Mellomregninger!V82,Mellomregninger!AH82)</f>
        <v>#VALUE!</v>
      </c>
      <c r="L82" s="320" t="e">
        <f>IF(ISNUMBER(Mellomregninger!AP82),IF(Mellomregninger!AP82&gt;Mellomregninger!AD82,Mellomregninger!AP82,Mellomregninger!AD82),Mellomregninger!AD82)</f>
        <v>#VALUE!</v>
      </c>
      <c r="M82" s="328" t="e">
        <f>L82/Stoff!$F82</f>
        <v>#VALUE!</v>
      </c>
    </row>
    <row r="83" spans="1:13" x14ac:dyDescent="0.35">
      <c r="A83" s="239" t="s">
        <v>126</v>
      </c>
      <c r="B83" s="318" t="e">
        <f>Mellomregninger!O83</f>
        <v>#VALUE!</v>
      </c>
      <c r="C83" s="333" t="str">
        <f>Mellomregninger!J83</f>
        <v/>
      </c>
      <c r="D83" s="318" t="e">
        <f>Mellomregninger!BB83</f>
        <v>#VALUE!</v>
      </c>
      <c r="E83" s="318" t="e">
        <f>Mellomregninger!BN83</f>
        <v>#VALUE!</v>
      </c>
      <c r="F83" s="318" t="e">
        <f>Mellomregninger!BZ83</f>
        <v>#VALUE!</v>
      </c>
      <c r="G83" s="328" t="e">
        <f>C83/Stoff!$F83</f>
        <v>#VALUE!</v>
      </c>
      <c r="H83" s="328" t="e">
        <f>D83/Stoff!$F83</f>
        <v>#VALUE!</v>
      </c>
      <c r="I83" s="328" t="e">
        <f>E83/Stoff!$F83</f>
        <v>#VALUE!</v>
      </c>
      <c r="J83" s="328" t="e">
        <f>F83/Stoff!$F83</f>
        <v>#VALUE!</v>
      </c>
      <c r="K83" s="328" t="e">
        <f>IF(L83=Mellomregninger!AD83,Mellomregninger!V83,Mellomregninger!AH83)</f>
        <v>#VALUE!</v>
      </c>
      <c r="L83" s="320" t="e">
        <f>IF(ISNUMBER(Mellomregninger!AP83),IF(Mellomregninger!AP83&gt;Mellomregninger!AD83,Mellomregninger!AP83,Mellomregninger!AD83),Mellomregninger!AD83)</f>
        <v>#VALUE!</v>
      </c>
      <c r="M83" s="328" t="e">
        <f>L83/Stoff!$F83</f>
        <v>#VALUE!</v>
      </c>
    </row>
    <row r="84" spans="1:13" x14ac:dyDescent="0.35">
      <c r="A84" s="239" t="s">
        <v>125</v>
      </c>
      <c r="B84" s="318" t="e">
        <f>Mellomregninger!O84</f>
        <v>#VALUE!</v>
      </c>
      <c r="C84" s="333" t="str">
        <f>Mellomregninger!J84</f>
        <v/>
      </c>
      <c r="D84" s="318" t="e">
        <f>Mellomregninger!BB84</f>
        <v>#VALUE!</v>
      </c>
      <c r="E84" s="318" t="e">
        <f>Mellomregninger!BN84</f>
        <v>#VALUE!</v>
      </c>
      <c r="F84" s="318" t="e">
        <f>Mellomregninger!BZ84</f>
        <v>#VALUE!</v>
      </c>
      <c r="G84" s="328" t="e">
        <f>C84/Stoff!$F84</f>
        <v>#VALUE!</v>
      </c>
      <c r="H84" s="328" t="e">
        <f>D84/Stoff!$F84</f>
        <v>#VALUE!</v>
      </c>
      <c r="I84" s="328" t="e">
        <f>E84/Stoff!$F84</f>
        <v>#VALUE!</v>
      </c>
      <c r="J84" s="328" t="e">
        <f>F84/Stoff!$F84</f>
        <v>#VALUE!</v>
      </c>
      <c r="K84" s="328" t="e">
        <f>IF(L84=Mellomregninger!AD84,Mellomregninger!V84,Mellomregninger!AH84)</f>
        <v>#VALUE!</v>
      </c>
      <c r="L84" s="320" t="e">
        <f>IF(ISNUMBER(Mellomregninger!AP84),IF(Mellomregninger!AP84&gt;Mellomregninger!AD84,Mellomregninger!AP84,Mellomregninger!AD84),Mellomregninger!AD84)</f>
        <v>#VALUE!</v>
      </c>
      <c r="M84" s="328" t="e">
        <f>L84/Stoff!$F84</f>
        <v>#VALUE!</v>
      </c>
    </row>
    <row r="85" spans="1:13" x14ac:dyDescent="0.35">
      <c r="A85" s="239" t="s">
        <v>124</v>
      </c>
      <c r="B85" s="318" t="e">
        <f>Mellomregninger!O85</f>
        <v>#VALUE!</v>
      </c>
      <c r="C85" s="333" t="str">
        <f>Mellomregninger!J85</f>
        <v/>
      </c>
      <c r="D85" s="318" t="e">
        <f>Mellomregninger!BB85</f>
        <v>#VALUE!</v>
      </c>
      <c r="E85" s="318" t="e">
        <f>Mellomregninger!BN85</f>
        <v>#VALUE!</v>
      </c>
      <c r="F85" s="318" t="e">
        <f>Mellomregninger!BZ85</f>
        <v>#VALUE!</v>
      </c>
      <c r="G85" s="328" t="e">
        <f>C85/Stoff!$F85</f>
        <v>#VALUE!</v>
      </c>
      <c r="H85" s="328" t="e">
        <f>D85/Stoff!$F85</f>
        <v>#VALUE!</v>
      </c>
      <c r="I85" s="328" t="e">
        <f>E85/Stoff!$F85</f>
        <v>#VALUE!</v>
      </c>
      <c r="J85" s="328" t="e">
        <f>F85/Stoff!$F85</f>
        <v>#VALUE!</v>
      </c>
      <c r="K85" s="328" t="e">
        <f>IF(L85=Mellomregninger!AD85,Mellomregninger!V85,Mellomregninger!AH85)</f>
        <v>#VALUE!</v>
      </c>
      <c r="L85" s="320" t="e">
        <f>IF(ISNUMBER(Mellomregninger!AP85),IF(Mellomregninger!AP85&gt;Mellomregninger!AD85,Mellomregninger!AP85,Mellomregninger!AD85),Mellomregninger!AD85)</f>
        <v>#VALUE!</v>
      </c>
      <c r="M85" s="328" t="e">
        <f>L85/Stoff!$F85</f>
        <v>#VALUE!</v>
      </c>
    </row>
    <row r="86" spans="1:13" x14ac:dyDescent="0.35">
      <c r="A86" s="239" t="s">
        <v>123</v>
      </c>
      <c r="B86" s="318" t="e">
        <f>Mellomregninger!O86</f>
        <v>#VALUE!</v>
      </c>
      <c r="C86" s="333" t="str">
        <f>Mellomregninger!J86</f>
        <v/>
      </c>
      <c r="D86" s="318" t="e">
        <f>Mellomregninger!BB86</f>
        <v>#VALUE!</v>
      </c>
      <c r="E86" s="318" t="e">
        <f>Mellomregninger!BN86</f>
        <v>#VALUE!</v>
      </c>
      <c r="F86" s="318" t="e">
        <f>Mellomregninger!BZ86</f>
        <v>#VALUE!</v>
      </c>
      <c r="G86" s="328" t="e">
        <f>C86/Stoff!$F86</f>
        <v>#VALUE!</v>
      </c>
      <c r="H86" s="328" t="e">
        <f>D86/Stoff!$F86</f>
        <v>#VALUE!</v>
      </c>
      <c r="I86" s="328" t="e">
        <f>E86/Stoff!$F86</f>
        <v>#VALUE!</v>
      </c>
      <c r="J86" s="328" t="e">
        <f>F86/Stoff!$F86</f>
        <v>#VALUE!</v>
      </c>
      <c r="K86" s="328" t="e">
        <f>IF(L86=Mellomregninger!AD86,Mellomregninger!V86,Mellomregninger!AH86)</f>
        <v>#VALUE!</v>
      </c>
      <c r="L86" s="320" t="e">
        <f>IF(ISNUMBER(Mellomregninger!AP86),IF(Mellomregninger!AP86&gt;Mellomregninger!AD86,Mellomregninger!AP86,Mellomregninger!AD86),Mellomregninger!AD86)</f>
        <v>#VALUE!</v>
      </c>
      <c r="M86" s="328" t="e">
        <f>L86/Stoff!$F86</f>
        <v>#VALUE!</v>
      </c>
    </row>
    <row r="87" spans="1:13" x14ac:dyDescent="0.35">
      <c r="A87" s="301" t="str">
        <f>Stoff!A87</f>
        <v>nystoff 1</v>
      </c>
      <c r="B87" s="318" t="e">
        <f>Mellomregninger!O87</f>
        <v>#VALUE!</v>
      </c>
      <c r="C87" s="333" t="str">
        <f>Mellomregninger!J87</f>
        <v/>
      </c>
      <c r="D87" s="318" t="e">
        <f>Mellomregninger!BB87</f>
        <v>#VALUE!</v>
      </c>
      <c r="E87" s="318" t="e">
        <f>Mellomregninger!BN87</f>
        <v>#VALUE!</v>
      </c>
      <c r="F87" s="318" t="e">
        <f>Mellomregninger!BZ87</f>
        <v>#VALUE!</v>
      </c>
      <c r="G87" s="328" t="e">
        <f>C87/Stoff!$F87</f>
        <v>#VALUE!</v>
      </c>
      <c r="H87" s="328" t="e">
        <f>D87/Stoff!$F87</f>
        <v>#VALUE!</v>
      </c>
      <c r="I87" s="328" t="e">
        <f>E87/Stoff!$F87</f>
        <v>#VALUE!</v>
      </c>
      <c r="J87" s="328" t="e">
        <f>F87/Stoff!$F87</f>
        <v>#VALUE!</v>
      </c>
      <c r="K87" s="328" t="e">
        <f>IF(L87=Mellomregninger!AD87,Mellomregninger!V87,Mellomregninger!AH87)</f>
        <v>#VALUE!</v>
      </c>
      <c r="L87" s="320" t="e">
        <f>IF(ISNUMBER(Mellomregninger!AP87),IF(Mellomregninger!AP87&gt;Mellomregninger!AD87,Mellomregninger!AP87,Mellomregninger!AD87),Mellomregninger!AD87)</f>
        <v>#VALUE!</v>
      </c>
      <c r="M87" s="328" t="e">
        <f>L87/Stoff!$F87</f>
        <v>#VALUE!</v>
      </c>
    </row>
    <row r="88" spans="1:13" x14ac:dyDescent="0.35">
      <c r="A88" s="301" t="str">
        <f>Stoff!A88</f>
        <v>nystoff 2</v>
      </c>
      <c r="B88" s="318" t="e">
        <f>Mellomregninger!O88</f>
        <v>#VALUE!</v>
      </c>
      <c r="C88" s="333" t="str">
        <f>Mellomregninger!J88</f>
        <v/>
      </c>
      <c r="D88" s="318" t="e">
        <f>Mellomregninger!BB88</f>
        <v>#VALUE!</v>
      </c>
      <c r="E88" s="318" t="e">
        <f>Mellomregninger!BN88</f>
        <v>#VALUE!</v>
      </c>
      <c r="F88" s="318" t="e">
        <f>Mellomregninger!BZ88</f>
        <v>#VALUE!</v>
      </c>
      <c r="G88" s="328" t="e">
        <f>C88/Stoff!$F88</f>
        <v>#VALUE!</v>
      </c>
      <c r="H88" s="328" t="e">
        <f>D88/Stoff!$F88</f>
        <v>#VALUE!</v>
      </c>
      <c r="I88" s="328" t="e">
        <f>E88/Stoff!$F88</f>
        <v>#VALUE!</v>
      </c>
      <c r="J88" s="328" t="e">
        <f>F88/Stoff!$F88</f>
        <v>#VALUE!</v>
      </c>
      <c r="K88" s="328" t="e">
        <f>IF(L88=Mellomregninger!AD88,Mellomregninger!V88,Mellomregninger!AH88)</f>
        <v>#VALUE!</v>
      </c>
      <c r="L88" s="320" t="e">
        <f>IF(ISNUMBER(Mellomregninger!AP88),IF(Mellomregninger!AP88&gt;Mellomregninger!AD88,Mellomregninger!AP88,Mellomregninger!AD88),Mellomregninger!AD88)</f>
        <v>#VALUE!</v>
      </c>
      <c r="M88" s="328" t="e">
        <f>L88/Stoff!$F88</f>
        <v>#VALUE!</v>
      </c>
    </row>
    <row r="89" spans="1:13" x14ac:dyDescent="0.35">
      <c r="A89" s="301" t="str">
        <f>Stoff!A89</f>
        <v>nystoff 3</v>
      </c>
      <c r="B89" s="318" t="e">
        <f>Mellomregninger!O89</f>
        <v>#VALUE!</v>
      </c>
      <c r="C89" s="333" t="str">
        <f>Mellomregninger!J89</f>
        <v/>
      </c>
      <c r="D89" s="318" t="e">
        <f>Mellomregninger!BB89</f>
        <v>#VALUE!</v>
      </c>
      <c r="E89" s="318" t="e">
        <f>Mellomregninger!BN89</f>
        <v>#VALUE!</v>
      </c>
      <c r="F89" s="318" t="e">
        <f>Mellomregninger!BZ89</f>
        <v>#VALUE!</v>
      </c>
      <c r="G89" s="328" t="e">
        <f>C89/Stoff!$F89</f>
        <v>#VALUE!</v>
      </c>
      <c r="H89" s="328" t="e">
        <f>D89/Stoff!$F89</f>
        <v>#VALUE!</v>
      </c>
      <c r="I89" s="328" t="e">
        <f>E89/Stoff!$F89</f>
        <v>#VALUE!</v>
      </c>
      <c r="J89" s="328" t="e">
        <f>F89/Stoff!$F89</f>
        <v>#VALUE!</v>
      </c>
      <c r="K89" s="328" t="e">
        <f>IF(L89=Mellomregninger!AD89,Mellomregninger!V89,Mellomregninger!AH89)</f>
        <v>#VALUE!</v>
      </c>
      <c r="L89" s="320" t="e">
        <f>IF(ISNUMBER(Mellomregninger!AP89),IF(Mellomregninger!AP89&gt;Mellomregninger!AD89,Mellomregninger!AP89,Mellomregninger!AD89),Mellomregninger!AD89)</f>
        <v>#VALUE!</v>
      </c>
      <c r="M89" s="328" t="e">
        <f>L89/Stoff!$F89</f>
        <v>#VALUE!</v>
      </c>
    </row>
    <row r="90" spans="1:13" x14ac:dyDescent="0.35">
      <c r="A90" s="301" t="str">
        <f>Stoff!A90</f>
        <v>nystoff 4</v>
      </c>
      <c r="B90" s="318" t="e">
        <f>Mellomregninger!O90</f>
        <v>#VALUE!</v>
      </c>
      <c r="C90" s="333" t="str">
        <f>Mellomregninger!J90</f>
        <v/>
      </c>
      <c r="D90" s="318" t="e">
        <f>Mellomregninger!BB90</f>
        <v>#VALUE!</v>
      </c>
      <c r="E90" s="318" t="e">
        <f>Mellomregninger!BN90</f>
        <v>#VALUE!</v>
      </c>
      <c r="F90" s="318" t="e">
        <f>Mellomregninger!BZ90</f>
        <v>#VALUE!</v>
      </c>
      <c r="G90" s="328" t="e">
        <f>C90/Stoff!$F90</f>
        <v>#VALUE!</v>
      </c>
      <c r="H90" s="328" t="e">
        <f>D90/Stoff!$F90</f>
        <v>#VALUE!</v>
      </c>
      <c r="I90" s="328" t="e">
        <f>E90/Stoff!$F90</f>
        <v>#VALUE!</v>
      </c>
      <c r="J90" s="328" t="e">
        <f>F90/Stoff!$F90</f>
        <v>#VALUE!</v>
      </c>
      <c r="K90" s="328" t="e">
        <f>IF(L90=Mellomregninger!AD90,Mellomregninger!V90,Mellomregninger!AH90)</f>
        <v>#VALUE!</v>
      </c>
      <c r="L90" s="320" t="e">
        <f>IF(ISNUMBER(Mellomregninger!AP90),IF(Mellomregninger!AP90&gt;Mellomregninger!AD90,Mellomregninger!AP90,Mellomregninger!AD90),Mellomregninger!AD90)</f>
        <v>#VALUE!</v>
      </c>
      <c r="M90" s="328" t="e">
        <f>L90/Stoff!$F90</f>
        <v>#VALUE!</v>
      </c>
    </row>
    <row r="91" spans="1:13" x14ac:dyDescent="0.35">
      <c r="A91" s="301" t="str">
        <f>Stoff!A91</f>
        <v>nystoff 5</v>
      </c>
      <c r="B91" s="318" t="e">
        <f>Mellomregninger!O91</f>
        <v>#VALUE!</v>
      </c>
      <c r="C91" s="333" t="str">
        <f>Mellomregninger!J91</f>
        <v/>
      </c>
      <c r="D91" s="318" t="e">
        <f>Mellomregninger!BB91</f>
        <v>#VALUE!</v>
      </c>
      <c r="E91" s="318" t="e">
        <f>Mellomregninger!BN91</f>
        <v>#VALUE!</v>
      </c>
      <c r="F91" s="318" t="e">
        <f>Mellomregninger!BZ91</f>
        <v>#VALUE!</v>
      </c>
      <c r="G91" s="328" t="e">
        <f>C91/Stoff!$F91</f>
        <v>#VALUE!</v>
      </c>
      <c r="H91" s="328" t="e">
        <f>D91/Stoff!$F91</f>
        <v>#VALUE!</v>
      </c>
      <c r="I91" s="328" t="e">
        <f>E91/Stoff!$F91</f>
        <v>#VALUE!</v>
      </c>
      <c r="J91" s="328" t="e">
        <f>F91/Stoff!$F91</f>
        <v>#VALUE!</v>
      </c>
      <c r="K91" s="328" t="e">
        <f>IF(L91=Mellomregninger!AD91,Mellomregninger!V91,Mellomregninger!AH91)</f>
        <v>#VALUE!</v>
      </c>
      <c r="L91" s="320" t="e">
        <f>IF(ISNUMBER(Mellomregninger!AP91),IF(Mellomregninger!AP91&gt;Mellomregninger!AD91,Mellomregninger!AP91,Mellomregninger!AD91),Mellomregninger!AD91)</f>
        <v>#VALUE!</v>
      </c>
      <c r="M91" s="328" t="e">
        <f>L91/Stoff!$F91</f>
        <v>#VALUE!</v>
      </c>
    </row>
    <row r="92" spans="1:13" x14ac:dyDescent="0.35">
      <c r="A92" s="301" t="str">
        <f>Stoff!A92</f>
        <v>nystoff 6</v>
      </c>
      <c r="B92" s="318" t="e">
        <f>Mellomregninger!O92</f>
        <v>#VALUE!</v>
      </c>
      <c r="C92" s="333" t="str">
        <f>Mellomregninger!J92</f>
        <v/>
      </c>
      <c r="D92" s="318" t="e">
        <f>Mellomregninger!BB92</f>
        <v>#VALUE!</v>
      </c>
      <c r="E92" s="318" t="e">
        <f>Mellomregninger!BN92</f>
        <v>#VALUE!</v>
      </c>
      <c r="F92" s="318" t="e">
        <f>Mellomregninger!BZ92</f>
        <v>#VALUE!</v>
      </c>
      <c r="G92" s="328" t="e">
        <f>C92/Stoff!$F92</f>
        <v>#VALUE!</v>
      </c>
      <c r="H92" s="328" t="e">
        <f>D92/Stoff!$F92</f>
        <v>#VALUE!</v>
      </c>
      <c r="I92" s="328" t="e">
        <f>E92/Stoff!$F92</f>
        <v>#VALUE!</v>
      </c>
      <c r="J92" s="328" t="e">
        <f>F92/Stoff!$F92</f>
        <v>#VALUE!</v>
      </c>
      <c r="K92" s="328" t="e">
        <f>IF(L92=Mellomregninger!AD92,Mellomregninger!V92,Mellomregninger!AH92)</f>
        <v>#VALUE!</v>
      </c>
      <c r="L92" s="320" t="e">
        <f>IF(ISNUMBER(Mellomregninger!AP92),IF(Mellomregninger!AP92&gt;Mellomregninger!AD92,Mellomregninger!AP92,Mellomregninger!AD92),Mellomregninger!AD92)</f>
        <v>#VALUE!</v>
      </c>
      <c r="M92" s="328" t="e">
        <f>L92/Stoff!$F92</f>
        <v>#VALUE!</v>
      </c>
    </row>
    <row r="93" spans="1:13" x14ac:dyDescent="0.35">
      <c r="A93" s="301" t="str">
        <f>Stoff!A93</f>
        <v>nystoff 7</v>
      </c>
      <c r="B93" s="318" t="e">
        <f>Mellomregninger!O93</f>
        <v>#VALUE!</v>
      </c>
      <c r="C93" s="333" t="str">
        <f>Mellomregninger!J93</f>
        <v/>
      </c>
      <c r="D93" s="318" t="e">
        <f>Mellomregninger!BB93</f>
        <v>#VALUE!</v>
      </c>
      <c r="E93" s="318" t="e">
        <f>Mellomregninger!BN93</f>
        <v>#VALUE!</v>
      </c>
      <c r="F93" s="318" t="e">
        <f>Mellomregninger!BZ93</f>
        <v>#VALUE!</v>
      </c>
      <c r="G93" s="328" t="e">
        <f>C93/Stoff!$F93</f>
        <v>#VALUE!</v>
      </c>
      <c r="H93" s="328" t="e">
        <f>D93/Stoff!$F93</f>
        <v>#VALUE!</v>
      </c>
      <c r="I93" s="328" t="e">
        <f>E93/Stoff!$F93</f>
        <v>#VALUE!</v>
      </c>
      <c r="J93" s="328" t="e">
        <f>F93/Stoff!$F93</f>
        <v>#VALUE!</v>
      </c>
      <c r="K93" s="328" t="e">
        <f>IF(L93=Mellomregninger!AD93,Mellomregninger!V93,Mellomregninger!AH93)</f>
        <v>#VALUE!</v>
      </c>
      <c r="L93" s="320" t="e">
        <f>IF(ISNUMBER(Mellomregninger!AP93),IF(Mellomregninger!AP93&gt;Mellomregninger!AD93,Mellomregninger!AP93,Mellomregninger!AD93),Mellomregninger!AD93)</f>
        <v>#VALUE!</v>
      </c>
      <c r="M93" s="328" t="e">
        <f>L93/Stoff!$F93</f>
        <v>#VALUE!</v>
      </c>
    </row>
    <row r="94" spans="1:13" x14ac:dyDescent="0.35">
      <c r="A94" s="301" t="str">
        <f>Stoff!A94</f>
        <v>nystoff 8</v>
      </c>
      <c r="B94" s="318" t="e">
        <f>Mellomregninger!O94</f>
        <v>#VALUE!</v>
      </c>
      <c r="C94" s="333" t="str">
        <f>Mellomregninger!J94</f>
        <v/>
      </c>
      <c r="D94" s="318" t="e">
        <f>Mellomregninger!BB94</f>
        <v>#VALUE!</v>
      </c>
      <c r="E94" s="318" t="e">
        <f>Mellomregninger!BN94</f>
        <v>#VALUE!</v>
      </c>
      <c r="F94" s="318" t="e">
        <f>Mellomregninger!BZ94</f>
        <v>#VALUE!</v>
      </c>
      <c r="G94" s="328" t="e">
        <f>C94/Stoff!$F94</f>
        <v>#VALUE!</v>
      </c>
      <c r="H94" s="328" t="e">
        <f>D94/Stoff!$F94</f>
        <v>#VALUE!</v>
      </c>
      <c r="I94" s="328" t="e">
        <f>E94/Stoff!$F94</f>
        <v>#VALUE!</v>
      </c>
      <c r="J94" s="328" t="e">
        <f>F94/Stoff!$F94</f>
        <v>#VALUE!</v>
      </c>
      <c r="K94" s="328" t="e">
        <f>IF(L94=Mellomregninger!AD94,Mellomregninger!V94,Mellomregninger!AH94)</f>
        <v>#VALUE!</v>
      </c>
      <c r="L94" s="320" t="e">
        <f>IF(ISNUMBER(Mellomregninger!AP94),IF(Mellomregninger!AP94&gt;Mellomregninger!AD94,Mellomregninger!AP94,Mellomregninger!AD94),Mellomregninger!AD94)</f>
        <v>#VALUE!</v>
      </c>
      <c r="M94" s="328" t="e">
        <f>L94/Stoff!$F94</f>
        <v>#VALUE!</v>
      </c>
    </row>
    <row r="95" spans="1:13" x14ac:dyDescent="0.35">
      <c r="A95" s="301" t="str">
        <f>Stoff!A95</f>
        <v>nystoff 9</v>
      </c>
      <c r="B95" s="318" t="e">
        <f>Mellomregninger!O95</f>
        <v>#VALUE!</v>
      </c>
      <c r="C95" s="333" t="str">
        <f>Mellomregninger!J95</f>
        <v/>
      </c>
      <c r="D95" s="318" t="e">
        <f>Mellomregninger!BB95</f>
        <v>#VALUE!</v>
      </c>
      <c r="E95" s="318" t="e">
        <f>Mellomregninger!BN95</f>
        <v>#VALUE!</v>
      </c>
      <c r="F95" s="318" t="e">
        <f>Mellomregninger!BZ95</f>
        <v>#VALUE!</v>
      </c>
      <c r="G95" s="328" t="e">
        <f>C95/Stoff!$F95</f>
        <v>#VALUE!</v>
      </c>
      <c r="H95" s="328" t="e">
        <f>D95/Stoff!$F95</f>
        <v>#VALUE!</v>
      </c>
      <c r="I95" s="328" t="e">
        <f>E95/Stoff!$F95</f>
        <v>#VALUE!</v>
      </c>
      <c r="J95" s="328" t="e">
        <f>F95/Stoff!$F95</f>
        <v>#VALUE!</v>
      </c>
      <c r="K95" s="328" t="e">
        <f>IF(L95=Mellomregninger!AD95,Mellomregninger!V95,Mellomregninger!AH95)</f>
        <v>#VALUE!</v>
      </c>
      <c r="L95" s="320" t="e">
        <f>IF(ISNUMBER(Mellomregninger!AP95),IF(Mellomregninger!AP95&gt;Mellomregninger!AD95,Mellomregninger!AP95,Mellomregninger!AD95),Mellomregninger!AD95)</f>
        <v>#VALUE!</v>
      </c>
      <c r="M95" s="328" t="e">
        <f>L95/Stoff!$F95</f>
        <v>#VALUE!</v>
      </c>
    </row>
    <row r="96" spans="1:13" x14ac:dyDescent="0.35">
      <c r="A96" s="301" t="str">
        <f>Stoff!A96</f>
        <v>nystoff 10</v>
      </c>
      <c r="B96" s="318" t="e">
        <f>Mellomregninger!O96</f>
        <v>#VALUE!</v>
      </c>
      <c r="C96" s="333" t="str">
        <f>Mellomregninger!J96</f>
        <v/>
      </c>
      <c r="D96" s="318" t="e">
        <f>Mellomregninger!BB96</f>
        <v>#VALUE!</v>
      </c>
      <c r="E96" s="318" t="e">
        <f>Mellomregninger!BN96</f>
        <v>#VALUE!</v>
      </c>
      <c r="F96" s="318" t="e">
        <f>Mellomregninger!BZ96</f>
        <v>#VALUE!</v>
      </c>
      <c r="G96" s="328" t="e">
        <f>C96/Stoff!$F96</f>
        <v>#VALUE!</v>
      </c>
      <c r="H96" s="328" t="e">
        <f>D96/Stoff!$F96</f>
        <v>#VALUE!</v>
      </c>
      <c r="I96" s="328" t="e">
        <f>E96/Stoff!$F96</f>
        <v>#VALUE!</v>
      </c>
      <c r="J96" s="328" t="e">
        <f>F96/Stoff!$F96</f>
        <v>#VALUE!</v>
      </c>
      <c r="K96" s="328" t="e">
        <f>IF(L96=Mellomregninger!AD96,Mellomregninger!V96,Mellomregninger!AH96)</f>
        <v>#VALUE!</v>
      </c>
      <c r="L96" s="320" t="e">
        <f>IF(ISNUMBER(Mellomregninger!AP96),IF(Mellomregninger!AP96&gt;Mellomregninger!AD96,Mellomregninger!AP96,Mellomregninger!AD96),Mellomregninger!AD96)</f>
        <v>#VALUE!</v>
      </c>
      <c r="M96" s="328" t="e">
        <f>L96/Stoff!$F96</f>
        <v>#VALUE!</v>
      </c>
    </row>
    <row r="97" spans="1:13" x14ac:dyDescent="0.35">
      <c r="A97" s="301" t="str">
        <f>Stoff!A97</f>
        <v>nystoff 11</v>
      </c>
      <c r="B97" s="318" t="e">
        <f>Mellomregninger!O97</f>
        <v>#VALUE!</v>
      </c>
      <c r="C97" s="333" t="str">
        <f>Mellomregninger!J97</f>
        <v/>
      </c>
      <c r="D97" s="318" t="e">
        <f>Mellomregninger!BB97</f>
        <v>#VALUE!</v>
      </c>
      <c r="E97" s="318" t="e">
        <f>Mellomregninger!BN97</f>
        <v>#VALUE!</v>
      </c>
      <c r="F97" s="318" t="e">
        <f>Mellomregninger!BZ97</f>
        <v>#VALUE!</v>
      </c>
      <c r="G97" s="328" t="e">
        <f>C97/Stoff!$F97</f>
        <v>#VALUE!</v>
      </c>
      <c r="H97" s="328" t="e">
        <f>D97/Stoff!$F97</f>
        <v>#VALUE!</v>
      </c>
      <c r="I97" s="328" t="e">
        <f>E97/Stoff!$F97</f>
        <v>#VALUE!</v>
      </c>
      <c r="J97" s="328" t="e">
        <f>F97/Stoff!$F97</f>
        <v>#VALUE!</v>
      </c>
      <c r="K97" s="328" t="e">
        <f>IF(L97=Mellomregninger!AD97,Mellomregninger!V97,Mellomregninger!AH97)</f>
        <v>#VALUE!</v>
      </c>
      <c r="L97" s="320" t="e">
        <f>IF(ISNUMBER(Mellomregninger!AP97),IF(Mellomregninger!AP97&gt;Mellomregninger!AD97,Mellomregninger!AP97,Mellomregninger!AD97),Mellomregninger!AD97)</f>
        <v>#VALUE!</v>
      </c>
      <c r="M97" s="328" t="e">
        <f>L97/Stoff!$F97</f>
        <v>#VALUE!</v>
      </c>
    </row>
    <row r="98" spans="1:13" x14ac:dyDescent="0.35">
      <c r="A98" s="301" t="str">
        <f>Stoff!A98</f>
        <v>nystoff 12</v>
      </c>
      <c r="B98" s="318" t="e">
        <f>Mellomregninger!O98</f>
        <v>#VALUE!</v>
      </c>
      <c r="C98" s="333" t="str">
        <f>Mellomregninger!J98</f>
        <v/>
      </c>
      <c r="D98" s="318" t="e">
        <f>Mellomregninger!BB98</f>
        <v>#VALUE!</v>
      </c>
      <c r="E98" s="318" t="e">
        <f>Mellomregninger!BN98</f>
        <v>#VALUE!</v>
      </c>
      <c r="F98" s="318" t="e">
        <f>Mellomregninger!BZ98</f>
        <v>#VALUE!</v>
      </c>
      <c r="G98" s="328" t="e">
        <f>C98/Stoff!$F98</f>
        <v>#VALUE!</v>
      </c>
      <c r="H98" s="328" t="e">
        <f>D98/Stoff!$F98</f>
        <v>#VALUE!</v>
      </c>
      <c r="I98" s="328" t="e">
        <f>E98/Stoff!$F98</f>
        <v>#VALUE!</v>
      </c>
      <c r="J98" s="328" t="e">
        <f>F98/Stoff!$F98</f>
        <v>#VALUE!</v>
      </c>
      <c r="K98" s="328" t="e">
        <f>IF(L98=Mellomregninger!AD98,Mellomregninger!V98,Mellomregninger!AH98)</f>
        <v>#VALUE!</v>
      </c>
      <c r="L98" s="320" t="e">
        <f>IF(ISNUMBER(Mellomregninger!AP98),IF(Mellomregninger!AP98&gt;Mellomregninger!AD98,Mellomregninger!AP98,Mellomregninger!AD98),Mellomregninger!AD98)</f>
        <v>#VALUE!</v>
      </c>
      <c r="M98" s="328" t="e">
        <f>L98/Stoff!$F98</f>
        <v>#VALUE!</v>
      </c>
    </row>
    <row r="99" spans="1:13" x14ac:dyDescent="0.35">
      <c r="A99" s="301" t="str">
        <f>Stoff!A99</f>
        <v>nystoff 13</v>
      </c>
      <c r="B99" s="318" t="e">
        <f>Mellomregninger!O99</f>
        <v>#VALUE!</v>
      </c>
      <c r="C99" s="333" t="str">
        <f>Mellomregninger!J99</f>
        <v/>
      </c>
      <c r="D99" s="318" t="e">
        <f>Mellomregninger!BB99</f>
        <v>#VALUE!</v>
      </c>
      <c r="E99" s="318" t="e">
        <f>Mellomregninger!BN99</f>
        <v>#VALUE!</v>
      </c>
      <c r="F99" s="318" t="e">
        <f>Mellomregninger!BZ99</f>
        <v>#VALUE!</v>
      </c>
      <c r="G99" s="328" t="e">
        <f>C99/Stoff!$F99</f>
        <v>#VALUE!</v>
      </c>
      <c r="H99" s="328" t="e">
        <f>D99/Stoff!$F99</f>
        <v>#VALUE!</v>
      </c>
      <c r="I99" s="328" t="e">
        <f>E99/Stoff!$F99</f>
        <v>#VALUE!</v>
      </c>
      <c r="J99" s="328" t="e">
        <f>F99/Stoff!$F99</f>
        <v>#VALUE!</v>
      </c>
      <c r="K99" s="328" t="e">
        <f>IF(L99=Mellomregninger!AD99,Mellomregninger!V99,Mellomregninger!AH99)</f>
        <v>#VALUE!</v>
      </c>
      <c r="L99" s="320" t="e">
        <f>IF(ISNUMBER(Mellomregninger!AP99),IF(Mellomregninger!AP99&gt;Mellomregninger!AD99,Mellomregninger!AP99,Mellomregninger!AD99),Mellomregninger!AD99)</f>
        <v>#VALUE!</v>
      </c>
      <c r="M99" s="328" t="e">
        <f>L99/Stoff!$F99</f>
        <v>#VALUE!</v>
      </c>
    </row>
    <row r="100" spans="1:13" x14ac:dyDescent="0.35">
      <c r="A100" s="301" t="str">
        <f>Stoff!A100</f>
        <v>nystoff 14</v>
      </c>
      <c r="B100" s="318" t="e">
        <f>Mellomregninger!O100</f>
        <v>#VALUE!</v>
      </c>
      <c r="C100" s="333" t="str">
        <f>Mellomregninger!J100</f>
        <v/>
      </c>
      <c r="D100" s="318" t="e">
        <f>Mellomregninger!BB100</f>
        <v>#VALUE!</v>
      </c>
      <c r="E100" s="318" t="e">
        <f>Mellomregninger!BN100</f>
        <v>#VALUE!</v>
      </c>
      <c r="F100" s="318" t="e">
        <f>Mellomregninger!BZ100</f>
        <v>#VALUE!</v>
      </c>
      <c r="G100" s="328" t="e">
        <f>C100/Stoff!$F100</f>
        <v>#VALUE!</v>
      </c>
      <c r="H100" s="328" t="e">
        <f>D100/Stoff!$F100</f>
        <v>#VALUE!</v>
      </c>
      <c r="I100" s="328" t="e">
        <f>E100/Stoff!$F100</f>
        <v>#VALUE!</v>
      </c>
      <c r="J100" s="328" t="e">
        <f>F100/Stoff!$F100</f>
        <v>#VALUE!</v>
      </c>
      <c r="K100" s="328" t="e">
        <f>IF(L100=Mellomregninger!AD100,Mellomregninger!V100,Mellomregninger!AH100)</f>
        <v>#VALUE!</v>
      </c>
      <c r="L100" s="320" t="e">
        <f>IF(ISNUMBER(Mellomregninger!AP100),IF(Mellomregninger!AP100&gt;Mellomregninger!AD100,Mellomregninger!AP100,Mellomregninger!AD100),Mellomregninger!AD100)</f>
        <v>#VALUE!</v>
      </c>
      <c r="M100" s="328" t="e">
        <f>L100/Stoff!$F100</f>
        <v>#VALUE!</v>
      </c>
    </row>
    <row r="101" spans="1:13" x14ac:dyDescent="0.35">
      <c r="A101" s="301" t="str">
        <f>Stoff!A101</f>
        <v>nystoff 15</v>
      </c>
      <c r="B101" s="318" t="e">
        <f>Mellomregninger!O101</f>
        <v>#VALUE!</v>
      </c>
      <c r="C101" s="333" t="str">
        <f>Mellomregninger!J101</f>
        <v/>
      </c>
      <c r="D101" s="318" t="e">
        <f>Mellomregninger!BB101</f>
        <v>#VALUE!</v>
      </c>
      <c r="E101" s="318" t="e">
        <f>Mellomregninger!BN101</f>
        <v>#VALUE!</v>
      </c>
      <c r="F101" s="318" t="e">
        <f>Mellomregninger!BZ101</f>
        <v>#VALUE!</v>
      </c>
      <c r="G101" s="328" t="e">
        <f>C101/Stoff!$F101</f>
        <v>#VALUE!</v>
      </c>
      <c r="H101" s="328" t="e">
        <f>D101/Stoff!$F101</f>
        <v>#VALUE!</v>
      </c>
      <c r="I101" s="328" t="e">
        <f>E101/Stoff!$F101</f>
        <v>#VALUE!</v>
      </c>
      <c r="J101" s="328" t="e">
        <f>F101/Stoff!$F101</f>
        <v>#VALUE!</v>
      </c>
      <c r="K101" s="328" t="e">
        <f>IF(L101=Mellomregninger!AD101,Mellomregninger!V101,Mellomregninger!AH101)</f>
        <v>#VALUE!</v>
      </c>
      <c r="L101" s="320" t="e">
        <f>IF(ISNUMBER(Mellomregninger!AP101),IF(Mellomregninger!AP101&gt;Mellomregninger!AD101,Mellomregninger!AP101,Mellomregninger!AD101),Mellomregninger!AD101)</f>
        <v>#VALUE!</v>
      </c>
      <c r="M101" s="328" t="e">
        <f>L101/Stoff!$F101</f>
        <v>#VALUE!</v>
      </c>
    </row>
    <row r="102" spans="1:13" x14ac:dyDescent="0.35">
      <c r="A102" s="301" t="str">
        <f>Stoff!A102</f>
        <v>nystoff 16</v>
      </c>
      <c r="B102" s="318" t="e">
        <f>Mellomregninger!O102</f>
        <v>#VALUE!</v>
      </c>
      <c r="C102" s="333" t="str">
        <f>Mellomregninger!J102</f>
        <v/>
      </c>
      <c r="D102" s="318" t="e">
        <f>Mellomregninger!BB102</f>
        <v>#VALUE!</v>
      </c>
      <c r="E102" s="318" t="e">
        <f>Mellomregninger!BN102</f>
        <v>#VALUE!</v>
      </c>
      <c r="F102" s="318" t="e">
        <f>Mellomregninger!BZ102</f>
        <v>#VALUE!</v>
      </c>
      <c r="G102" s="328" t="e">
        <f>C102/Stoff!$F102</f>
        <v>#VALUE!</v>
      </c>
      <c r="H102" s="328" t="e">
        <f>D102/Stoff!$F102</f>
        <v>#VALUE!</v>
      </c>
      <c r="I102" s="328" t="e">
        <f>E102/Stoff!$F102</f>
        <v>#VALUE!</v>
      </c>
      <c r="J102" s="328" t="e">
        <f>F102/Stoff!$F102</f>
        <v>#VALUE!</v>
      </c>
      <c r="K102" s="328" t="e">
        <f>IF(L102=Mellomregninger!AD102,Mellomregninger!V102,Mellomregninger!AH102)</f>
        <v>#VALUE!</v>
      </c>
      <c r="L102" s="320" t="e">
        <f>IF(ISNUMBER(Mellomregninger!AP102),IF(Mellomregninger!AP102&gt;Mellomregninger!AD102,Mellomregninger!AP102,Mellomregninger!AD102),Mellomregninger!AD102)</f>
        <v>#VALUE!</v>
      </c>
      <c r="M102" s="328" t="e">
        <f>L102/Stoff!$F102</f>
        <v>#VALUE!</v>
      </c>
    </row>
    <row r="103" spans="1:13" x14ac:dyDescent="0.35">
      <c r="A103" s="301" t="str">
        <f>Stoff!A103</f>
        <v>nystoff 17</v>
      </c>
      <c r="B103" s="318" t="e">
        <f>Mellomregninger!O103</f>
        <v>#VALUE!</v>
      </c>
      <c r="C103" s="333" t="str">
        <f>Mellomregninger!J103</f>
        <v/>
      </c>
      <c r="D103" s="318" t="e">
        <f>Mellomregninger!BB103</f>
        <v>#VALUE!</v>
      </c>
      <c r="E103" s="318" t="e">
        <f>Mellomregninger!BN103</f>
        <v>#VALUE!</v>
      </c>
      <c r="F103" s="318" t="e">
        <f>Mellomregninger!BZ103</f>
        <v>#VALUE!</v>
      </c>
      <c r="G103" s="328" t="e">
        <f>C103/Stoff!$F103</f>
        <v>#VALUE!</v>
      </c>
      <c r="H103" s="328" t="e">
        <f>D103/Stoff!$F103</f>
        <v>#VALUE!</v>
      </c>
      <c r="I103" s="328" t="e">
        <f>E103/Stoff!$F103</f>
        <v>#VALUE!</v>
      </c>
      <c r="J103" s="328" t="e">
        <f>F103/Stoff!$F103</f>
        <v>#VALUE!</v>
      </c>
      <c r="K103" s="328" t="e">
        <f>IF(L103=Mellomregninger!AD103,Mellomregninger!V103,Mellomregninger!AH103)</f>
        <v>#VALUE!</v>
      </c>
      <c r="L103" s="320" t="e">
        <f>IF(ISNUMBER(Mellomregninger!AP103),IF(Mellomregninger!AP103&gt;Mellomregninger!AD103,Mellomregninger!AP103,Mellomregninger!AD103),Mellomregninger!AD103)</f>
        <v>#VALUE!</v>
      </c>
      <c r="M103" s="328" t="e">
        <f>L103/Stoff!$F103</f>
        <v>#VALUE!</v>
      </c>
    </row>
    <row r="104" spans="1:13" x14ac:dyDescent="0.35">
      <c r="A104" s="301" t="str">
        <f>Stoff!A104</f>
        <v>nystoff 18</v>
      </c>
      <c r="B104" s="318" t="e">
        <f>Mellomregninger!O104</f>
        <v>#VALUE!</v>
      </c>
      <c r="C104" s="333" t="str">
        <f>Mellomregninger!J104</f>
        <v/>
      </c>
      <c r="D104" s="318" t="e">
        <f>Mellomregninger!BB104</f>
        <v>#VALUE!</v>
      </c>
      <c r="E104" s="318" t="e">
        <f>Mellomregninger!BN104</f>
        <v>#VALUE!</v>
      </c>
      <c r="F104" s="318" t="e">
        <f>Mellomregninger!BZ104</f>
        <v>#VALUE!</v>
      </c>
      <c r="G104" s="328" t="e">
        <f>C104/Stoff!$F104</f>
        <v>#VALUE!</v>
      </c>
      <c r="H104" s="328" t="e">
        <f>D104/Stoff!$F104</f>
        <v>#VALUE!</v>
      </c>
      <c r="I104" s="328" t="e">
        <f>E104/Stoff!$F104</f>
        <v>#VALUE!</v>
      </c>
      <c r="J104" s="328" t="e">
        <f>F104/Stoff!$F104</f>
        <v>#VALUE!</v>
      </c>
      <c r="K104" s="328" t="e">
        <f>IF(L104=Mellomregninger!AD104,Mellomregninger!V104,Mellomregninger!AH104)</f>
        <v>#VALUE!</v>
      </c>
      <c r="L104" s="320" t="e">
        <f>IF(ISNUMBER(Mellomregninger!AP104),IF(Mellomregninger!AP104&gt;Mellomregninger!AD104,Mellomregninger!AP104,Mellomregninger!AD104),Mellomregninger!AD104)</f>
        <v>#VALUE!</v>
      </c>
      <c r="M104" s="328" t="e">
        <f>L104/Stoff!$F104</f>
        <v>#VALUE!</v>
      </c>
    </row>
    <row r="105" spans="1:13" x14ac:dyDescent="0.35">
      <c r="A105" s="301" t="str">
        <f>Stoff!A105</f>
        <v>nystoff 19</v>
      </c>
      <c r="B105" s="318" t="e">
        <f>Mellomregninger!O105</f>
        <v>#VALUE!</v>
      </c>
      <c r="C105" s="333" t="str">
        <f>Mellomregninger!J105</f>
        <v/>
      </c>
      <c r="D105" s="318" t="e">
        <f>Mellomregninger!BB105</f>
        <v>#VALUE!</v>
      </c>
      <c r="E105" s="318" t="e">
        <f>Mellomregninger!BN105</f>
        <v>#VALUE!</v>
      </c>
      <c r="F105" s="318" t="e">
        <f>Mellomregninger!BZ105</f>
        <v>#VALUE!</v>
      </c>
      <c r="G105" s="328" t="e">
        <f>C105/Stoff!$F105</f>
        <v>#VALUE!</v>
      </c>
      <c r="H105" s="328" t="e">
        <f>D105/Stoff!$F105</f>
        <v>#VALUE!</v>
      </c>
      <c r="I105" s="328" t="e">
        <f>E105/Stoff!$F105</f>
        <v>#VALUE!</v>
      </c>
      <c r="J105" s="328" t="e">
        <f>F105/Stoff!$F105</f>
        <v>#VALUE!</v>
      </c>
      <c r="K105" s="328" t="e">
        <f>IF(L105=Mellomregninger!AD105,Mellomregninger!V105,Mellomregninger!AH105)</f>
        <v>#VALUE!</v>
      </c>
      <c r="L105" s="320" t="e">
        <f>IF(ISNUMBER(Mellomregninger!AP105),IF(Mellomregninger!AP105&gt;Mellomregninger!AD105,Mellomregninger!AP105,Mellomregninger!AD105),Mellomregninger!AD105)</f>
        <v>#VALUE!</v>
      </c>
      <c r="M105" s="328" t="e">
        <f>L105/Stoff!$F105</f>
        <v>#VALUE!</v>
      </c>
    </row>
    <row r="106" spans="1:13" x14ac:dyDescent="0.35">
      <c r="A106" s="301" t="str">
        <f>Stoff!A106</f>
        <v>nystoff 20</v>
      </c>
      <c r="B106" s="318" t="e">
        <f>Mellomregninger!O106</f>
        <v>#VALUE!</v>
      </c>
      <c r="C106" s="333" t="str">
        <f>Mellomregninger!J106</f>
        <v/>
      </c>
      <c r="D106" s="318" t="e">
        <f>Mellomregninger!BB106</f>
        <v>#VALUE!</v>
      </c>
      <c r="E106" s="318" t="e">
        <f>Mellomregninger!BN106</f>
        <v>#VALUE!</v>
      </c>
      <c r="F106" s="318" t="e">
        <f>Mellomregninger!BZ106</f>
        <v>#VALUE!</v>
      </c>
      <c r="G106" s="328" t="e">
        <f>C106/Stoff!$F106</f>
        <v>#VALUE!</v>
      </c>
      <c r="H106" s="328" t="e">
        <f>D106/Stoff!$F106</f>
        <v>#VALUE!</v>
      </c>
      <c r="I106" s="328" t="e">
        <f>E106/Stoff!$F106</f>
        <v>#VALUE!</v>
      </c>
      <c r="J106" s="328" t="e">
        <f>F106/Stoff!$F106</f>
        <v>#VALUE!</v>
      </c>
      <c r="K106" s="328" t="e">
        <f>IF(L106=Mellomregninger!AD106,Mellomregninger!V106,Mellomregninger!AH106)</f>
        <v>#VALUE!</v>
      </c>
      <c r="L106" s="320" t="e">
        <f>IF(ISNUMBER(Mellomregninger!AP106),IF(Mellomregninger!AP106&gt;Mellomregninger!AD106,Mellomregninger!AP106,Mellomregninger!AD106),Mellomregninger!AD106)</f>
        <v>#VALUE!</v>
      </c>
      <c r="M106" s="328" t="e">
        <f>L106/Stoff!$F106</f>
        <v>#VALUE!</v>
      </c>
    </row>
    <row r="107" spans="1:13" x14ac:dyDescent="0.35">
      <c r="A107" s="301" t="str">
        <f>Stoff!A107</f>
        <v>nystoff 21</v>
      </c>
      <c r="B107" s="318" t="e">
        <f>Mellomregninger!O107</f>
        <v>#VALUE!</v>
      </c>
      <c r="C107" s="333" t="str">
        <f>Mellomregninger!J107</f>
        <v/>
      </c>
      <c r="D107" s="318" t="e">
        <f>Mellomregninger!BB107</f>
        <v>#VALUE!</v>
      </c>
      <c r="E107" s="318" t="e">
        <f>Mellomregninger!BN107</f>
        <v>#VALUE!</v>
      </c>
      <c r="F107" s="318" t="e">
        <f>Mellomregninger!BZ107</f>
        <v>#VALUE!</v>
      </c>
      <c r="G107" s="328" t="e">
        <f>C107/Stoff!$F107</f>
        <v>#VALUE!</v>
      </c>
      <c r="H107" s="328" t="e">
        <f>D107/Stoff!$F107</f>
        <v>#VALUE!</v>
      </c>
      <c r="I107" s="328" t="e">
        <f>E107/Stoff!$F107</f>
        <v>#VALUE!</v>
      </c>
      <c r="J107" s="328" t="e">
        <f>F107/Stoff!$F107</f>
        <v>#VALUE!</v>
      </c>
      <c r="K107" s="328" t="e">
        <f>IF(L107=Mellomregninger!AD107,Mellomregninger!V107,Mellomregninger!AH107)</f>
        <v>#VALUE!</v>
      </c>
      <c r="L107" s="320" t="e">
        <f>IF(ISNUMBER(Mellomregninger!AP107),IF(Mellomregninger!AP107&gt;Mellomregninger!AD107,Mellomregninger!AP107,Mellomregninger!AD107),Mellomregninger!AD107)</f>
        <v>#VALUE!</v>
      </c>
      <c r="M107" s="328" t="e">
        <f>L107/Stoff!$F107</f>
        <v>#VALUE!</v>
      </c>
    </row>
    <row r="108" spans="1:13" x14ac:dyDescent="0.35">
      <c r="A108" s="301" t="str">
        <f>Stoff!A108</f>
        <v>nystoff 22</v>
      </c>
      <c r="B108" s="318" t="e">
        <f>Mellomregninger!O108</f>
        <v>#VALUE!</v>
      </c>
      <c r="C108" s="333" t="str">
        <f>Mellomregninger!J108</f>
        <v/>
      </c>
      <c r="D108" s="318" t="e">
        <f>Mellomregninger!BB108</f>
        <v>#VALUE!</v>
      </c>
      <c r="E108" s="318" t="e">
        <f>Mellomregninger!BN108</f>
        <v>#VALUE!</v>
      </c>
      <c r="F108" s="318" t="e">
        <f>Mellomregninger!BZ108</f>
        <v>#VALUE!</v>
      </c>
      <c r="G108" s="328" t="e">
        <f>C108/Stoff!$F108</f>
        <v>#VALUE!</v>
      </c>
      <c r="H108" s="328" t="e">
        <f>D108/Stoff!$F108</f>
        <v>#VALUE!</v>
      </c>
      <c r="I108" s="328" t="e">
        <f>E108/Stoff!$F108</f>
        <v>#VALUE!</v>
      </c>
      <c r="J108" s="328" t="e">
        <f>F108/Stoff!$F108</f>
        <v>#VALUE!</v>
      </c>
      <c r="K108" s="328" t="e">
        <f>IF(L108=Mellomregninger!AD108,Mellomregninger!V108,Mellomregninger!AH108)</f>
        <v>#VALUE!</v>
      </c>
      <c r="L108" s="320" t="e">
        <f>IF(ISNUMBER(Mellomregninger!AP108),IF(Mellomregninger!AP108&gt;Mellomregninger!AD108,Mellomregninger!AP108,Mellomregninger!AD108),Mellomregninger!AD108)</f>
        <v>#VALUE!</v>
      </c>
      <c r="M108" s="328" t="e">
        <f>L108/Stoff!$F108</f>
        <v>#VALUE!</v>
      </c>
    </row>
    <row r="109" spans="1:13" x14ac:dyDescent="0.35">
      <c r="A109" s="301" t="str">
        <f>Stoff!A109</f>
        <v>nystoff 23</v>
      </c>
      <c r="B109" s="318" t="e">
        <f>Mellomregninger!O109</f>
        <v>#VALUE!</v>
      </c>
      <c r="C109" s="333" t="str">
        <f>Mellomregninger!J109</f>
        <v/>
      </c>
      <c r="D109" s="318" t="e">
        <f>Mellomregninger!BB109</f>
        <v>#VALUE!</v>
      </c>
      <c r="E109" s="318" t="e">
        <f>Mellomregninger!BN109</f>
        <v>#VALUE!</v>
      </c>
      <c r="F109" s="318" t="e">
        <f>Mellomregninger!BZ109</f>
        <v>#VALUE!</v>
      </c>
      <c r="G109" s="328" t="e">
        <f>C109/Stoff!$F109</f>
        <v>#VALUE!</v>
      </c>
      <c r="H109" s="328" t="e">
        <f>D109/Stoff!$F109</f>
        <v>#VALUE!</v>
      </c>
      <c r="I109" s="328" t="e">
        <f>E109/Stoff!$F109</f>
        <v>#VALUE!</v>
      </c>
      <c r="J109" s="328" t="e">
        <f>F109/Stoff!$F109</f>
        <v>#VALUE!</v>
      </c>
      <c r="K109" s="328" t="e">
        <f>IF(L109=Mellomregninger!AD109,Mellomregninger!V109,Mellomregninger!AH109)</f>
        <v>#VALUE!</v>
      </c>
      <c r="L109" s="320" t="e">
        <f>IF(ISNUMBER(Mellomregninger!AP109),IF(Mellomregninger!AP109&gt;Mellomregninger!AD109,Mellomregninger!AP109,Mellomregninger!AD109),Mellomregninger!AD109)</f>
        <v>#VALUE!</v>
      </c>
      <c r="M109" s="328" t="e">
        <f>L109/Stoff!$F109</f>
        <v>#VALUE!</v>
      </c>
    </row>
    <row r="110" spans="1:13" x14ac:dyDescent="0.35">
      <c r="A110" s="301" t="str">
        <f>Stoff!A110</f>
        <v>nystoff 24</v>
      </c>
      <c r="B110" s="318" t="e">
        <f>Mellomregninger!O110</f>
        <v>#VALUE!</v>
      </c>
      <c r="C110" s="333" t="str">
        <f>Mellomregninger!J110</f>
        <v/>
      </c>
      <c r="D110" s="318" t="e">
        <f>Mellomregninger!BB110</f>
        <v>#VALUE!</v>
      </c>
      <c r="E110" s="318" t="e">
        <f>Mellomregninger!BN110</f>
        <v>#VALUE!</v>
      </c>
      <c r="F110" s="318" t="e">
        <f>Mellomregninger!BZ110</f>
        <v>#VALUE!</v>
      </c>
      <c r="G110" s="328" t="e">
        <f>C110/Stoff!$F110</f>
        <v>#VALUE!</v>
      </c>
      <c r="H110" s="328" t="e">
        <f>D110/Stoff!$F110</f>
        <v>#VALUE!</v>
      </c>
      <c r="I110" s="328" t="e">
        <f>E110/Stoff!$F110</f>
        <v>#VALUE!</v>
      </c>
      <c r="J110" s="328" t="e">
        <f>F110/Stoff!$F110</f>
        <v>#VALUE!</v>
      </c>
      <c r="K110" s="328" t="e">
        <f>IF(L110=Mellomregninger!AD110,Mellomregninger!V110,Mellomregninger!AH110)</f>
        <v>#VALUE!</v>
      </c>
      <c r="L110" s="320" t="e">
        <f>IF(ISNUMBER(Mellomregninger!AP110),IF(Mellomregninger!AP110&gt;Mellomregninger!AD110,Mellomregninger!AP110,Mellomregninger!AD110),Mellomregninger!AD110)</f>
        <v>#VALUE!</v>
      </c>
      <c r="M110" s="328" t="e">
        <f>L110/Stoff!$F110</f>
        <v>#VALUE!</v>
      </c>
    </row>
    <row r="111" spans="1:13" x14ac:dyDescent="0.35">
      <c r="A111" s="301" t="str">
        <f>Stoff!A111</f>
        <v>nystoff 25</v>
      </c>
      <c r="B111" s="318" t="e">
        <f>Mellomregninger!O111</f>
        <v>#VALUE!</v>
      </c>
      <c r="C111" s="333" t="str">
        <f>Mellomregninger!J111</f>
        <v/>
      </c>
      <c r="D111" s="318" t="e">
        <f>Mellomregninger!BB111</f>
        <v>#VALUE!</v>
      </c>
      <c r="E111" s="318" t="e">
        <f>Mellomregninger!BN111</f>
        <v>#VALUE!</v>
      </c>
      <c r="F111" s="318" t="e">
        <f>Mellomregninger!BZ111</f>
        <v>#VALUE!</v>
      </c>
      <c r="G111" s="328" t="e">
        <f>C111/Stoff!$F111</f>
        <v>#VALUE!</v>
      </c>
      <c r="H111" s="328" t="e">
        <f>D111/Stoff!$F111</f>
        <v>#VALUE!</v>
      </c>
      <c r="I111" s="328" t="e">
        <f>E111/Stoff!$F111</f>
        <v>#VALUE!</v>
      </c>
      <c r="J111" s="328" t="e">
        <f>F111/Stoff!$F111</f>
        <v>#VALUE!</v>
      </c>
      <c r="K111" s="328" t="e">
        <f>IF(L111=Mellomregninger!AD111,Mellomregninger!V111,Mellomregninger!AH111)</f>
        <v>#VALUE!</v>
      </c>
      <c r="L111" s="320" t="e">
        <f>IF(ISNUMBER(Mellomregninger!AP111),IF(Mellomregninger!AP111&gt;Mellomregninger!AD111,Mellomregninger!AP111,Mellomregninger!AD111),Mellomregninger!AD111)</f>
        <v>#VALUE!</v>
      </c>
      <c r="M111" s="328" t="e">
        <f>L111/Stoff!$F111</f>
        <v>#VALUE!</v>
      </c>
    </row>
    <row r="112" spans="1:13" x14ac:dyDescent="0.35">
      <c r="A112" s="301" t="str">
        <f>Stoff!A112</f>
        <v>nystoff 26</v>
      </c>
      <c r="B112" s="318" t="e">
        <f>Mellomregninger!O112</f>
        <v>#VALUE!</v>
      </c>
      <c r="C112" s="333" t="str">
        <f>Mellomregninger!J112</f>
        <v/>
      </c>
      <c r="D112" s="318" t="e">
        <f>Mellomregninger!BB112</f>
        <v>#VALUE!</v>
      </c>
      <c r="E112" s="318" t="e">
        <f>Mellomregninger!BN112</f>
        <v>#VALUE!</v>
      </c>
      <c r="F112" s="318" t="e">
        <f>Mellomregninger!BZ112</f>
        <v>#VALUE!</v>
      </c>
      <c r="G112" s="328" t="e">
        <f>C112/Stoff!$F112</f>
        <v>#VALUE!</v>
      </c>
      <c r="H112" s="328" t="e">
        <f>D112/Stoff!$F112</f>
        <v>#VALUE!</v>
      </c>
      <c r="I112" s="328" t="e">
        <f>E112/Stoff!$F112</f>
        <v>#VALUE!</v>
      </c>
      <c r="J112" s="328" t="e">
        <f>F112/Stoff!$F112</f>
        <v>#VALUE!</v>
      </c>
      <c r="K112" s="328" t="e">
        <f>IF(L112=Mellomregninger!AD112,Mellomregninger!V112,Mellomregninger!AH112)</f>
        <v>#VALUE!</v>
      </c>
      <c r="L112" s="320" t="e">
        <f>IF(ISNUMBER(Mellomregninger!AP112),IF(Mellomregninger!AP112&gt;Mellomregninger!AD112,Mellomregninger!AP112,Mellomregninger!AD112),Mellomregninger!AD112)</f>
        <v>#VALUE!</v>
      </c>
      <c r="M112" s="328" t="e">
        <f>L112/Stoff!$F112</f>
        <v>#VALUE!</v>
      </c>
    </row>
    <row r="113" spans="1:13" x14ac:dyDescent="0.35">
      <c r="A113" s="301" t="str">
        <f>Stoff!A113</f>
        <v>nystoff 27</v>
      </c>
      <c r="B113" s="318" t="e">
        <f>Mellomregninger!O113</f>
        <v>#VALUE!</v>
      </c>
      <c r="C113" s="333" t="str">
        <f>Mellomregninger!J113</f>
        <v/>
      </c>
      <c r="D113" s="318" t="e">
        <f>Mellomregninger!BB113</f>
        <v>#VALUE!</v>
      </c>
      <c r="E113" s="318" t="e">
        <f>Mellomregninger!BN113</f>
        <v>#VALUE!</v>
      </c>
      <c r="F113" s="318" t="e">
        <f>Mellomregninger!BZ113</f>
        <v>#VALUE!</v>
      </c>
      <c r="G113" s="328" t="e">
        <f>C113/Stoff!$F113</f>
        <v>#VALUE!</v>
      </c>
      <c r="H113" s="328" t="e">
        <f>D113/Stoff!$F113</f>
        <v>#VALUE!</v>
      </c>
      <c r="I113" s="328" t="e">
        <f>E113/Stoff!$F113</f>
        <v>#VALUE!</v>
      </c>
      <c r="J113" s="328" t="e">
        <f>F113/Stoff!$F113</f>
        <v>#VALUE!</v>
      </c>
      <c r="K113" s="328" t="e">
        <f>IF(L113=Mellomregninger!AD113,Mellomregninger!V113,Mellomregninger!AH113)</f>
        <v>#VALUE!</v>
      </c>
      <c r="L113" s="320" t="e">
        <f>IF(ISNUMBER(Mellomregninger!AP113),IF(Mellomregninger!AP113&gt;Mellomregninger!AD113,Mellomregninger!AP113,Mellomregninger!AD113),Mellomregninger!AD113)</f>
        <v>#VALUE!</v>
      </c>
      <c r="M113" s="328" t="e">
        <f>L113/Stoff!$F113</f>
        <v>#VALUE!</v>
      </c>
    </row>
    <row r="114" spans="1:13" x14ac:dyDescent="0.35">
      <c r="A114" s="301" t="str">
        <f>Stoff!A114</f>
        <v>nystoff 28</v>
      </c>
      <c r="B114" s="318" t="e">
        <f>Mellomregninger!O114</f>
        <v>#VALUE!</v>
      </c>
      <c r="C114" s="333" t="str">
        <f>Mellomregninger!J114</f>
        <v/>
      </c>
      <c r="D114" s="318" t="e">
        <f>Mellomregninger!BB114</f>
        <v>#VALUE!</v>
      </c>
      <c r="E114" s="318" t="e">
        <f>Mellomregninger!BN114</f>
        <v>#VALUE!</v>
      </c>
      <c r="F114" s="318" t="e">
        <f>Mellomregninger!BZ114</f>
        <v>#VALUE!</v>
      </c>
      <c r="G114" s="328" t="e">
        <f>C114/Stoff!$F114</f>
        <v>#VALUE!</v>
      </c>
      <c r="H114" s="328" t="e">
        <f>D114/Stoff!$F114</f>
        <v>#VALUE!</v>
      </c>
      <c r="I114" s="328" t="e">
        <f>E114/Stoff!$F114</f>
        <v>#VALUE!</v>
      </c>
      <c r="J114" s="328" t="e">
        <f>F114/Stoff!$F114</f>
        <v>#VALUE!</v>
      </c>
      <c r="K114" s="328" t="e">
        <f>IF(L114=Mellomregninger!AD114,Mellomregninger!V114,Mellomregninger!AH114)</f>
        <v>#VALUE!</v>
      </c>
      <c r="L114" s="320" t="e">
        <f>IF(ISNUMBER(Mellomregninger!AP114),IF(Mellomregninger!AP114&gt;Mellomregninger!AD114,Mellomregninger!AP114,Mellomregninger!AD114),Mellomregninger!AD114)</f>
        <v>#VALUE!</v>
      </c>
      <c r="M114" s="328" t="e">
        <f>L114/Stoff!$F114</f>
        <v>#VALUE!</v>
      </c>
    </row>
  </sheetData>
  <sheetProtection sheet="1" objects="1" scenarios="1" selectLockedCells="1"/>
  <conditionalFormatting sqref="A87:A114">
    <cfRule type="cellIs" dxfId="39" priority="9" stopIfTrue="1" operator="equal">
      <formula>""</formula>
    </cfRule>
  </conditionalFormatting>
  <conditionalFormatting sqref="A2:B2 A1:L1 A3:M3 B4:M86 A87:M1048576">
    <cfRule type="containsErrors" dxfId="38" priority="7">
      <formula>ISERROR(A1)</formula>
    </cfRule>
  </conditionalFormatting>
  <conditionalFormatting sqref="M1">
    <cfRule type="containsErrors" dxfId="37" priority="6">
      <formula>ISERROR(M1)</formula>
    </cfRule>
  </conditionalFormatting>
  <conditionalFormatting sqref="C2:F2">
    <cfRule type="containsErrors" dxfId="36" priority="5">
      <formula>ISERROR(C2)</formula>
    </cfRule>
  </conditionalFormatting>
  <conditionalFormatting sqref="G2:J2">
    <cfRule type="containsErrors" dxfId="35" priority="3">
      <formula>ISERROR(G2)</formula>
    </cfRule>
  </conditionalFormatting>
  <conditionalFormatting sqref="K2:M2">
    <cfRule type="containsErrors" dxfId="34" priority="2">
      <formula>ISERROR(K2)</formula>
    </cfRule>
  </conditionalFormatting>
  <conditionalFormatting sqref="A4:A86">
    <cfRule type="containsErrors" dxfId="33" priority="1">
      <formula>ISERROR(A4)</formula>
    </cfRule>
  </conditionalFormatting>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99"/>
  </sheetPr>
  <dimension ref="A1:L114"/>
  <sheetViews>
    <sheetView workbookViewId="0">
      <pane xSplit="1" ySplit="2" topLeftCell="B3" activePane="bottomRight" state="frozen"/>
      <selection pane="topRight" activeCell="B1" sqref="B1"/>
      <selection pane="bottomLeft" activeCell="A3" sqref="A3"/>
      <selection pane="bottomRight" sqref="A1:L114"/>
    </sheetView>
  </sheetViews>
  <sheetFormatPr baseColWidth="10" defaultColWidth="11.453125" defaultRowHeight="14.5" x14ac:dyDescent="0.35"/>
  <cols>
    <col min="1" max="1" width="20" style="46" bestFit="1" customWidth="1"/>
    <col min="2" max="5" width="11.453125" style="89"/>
    <col min="6" max="6" width="13.54296875" style="89" bestFit="1" customWidth="1"/>
    <col min="7" max="12" width="11.453125" style="89"/>
  </cols>
  <sheetData>
    <row r="1" spans="1:12" x14ac:dyDescent="0.35">
      <c r="A1" s="257" t="s">
        <v>211</v>
      </c>
      <c r="B1" s="321" t="s">
        <v>554</v>
      </c>
      <c r="C1" s="321" t="s">
        <v>554</v>
      </c>
      <c r="D1" s="321" t="s">
        <v>554</v>
      </c>
      <c r="E1" s="321" t="s">
        <v>554</v>
      </c>
      <c r="F1" s="321" t="s">
        <v>554</v>
      </c>
      <c r="G1" s="321" t="s">
        <v>554</v>
      </c>
      <c r="H1" s="321" t="s">
        <v>554</v>
      </c>
      <c r="I1" s="321" t="s">
        <v>554</v>
      </c>
      <c r="J1" s="321" t="s">
        <v>554</v>
      </c>
      <c r="K1" s="321" t="s">
        <v>554</v>
      </c>
      <c r="L1" s="321" t="s">
        <v>554</v>
      </c>
    </row>
    <row r="2" spans="1:12" ht="72.5" x14ac:dyDescent="0.35">
      <c r="A2" s="257"/>
      <c r="B2" s="322" t="s">
        <v>680</v>
      </c>
      <c r="C2" s="322" t="s">
        <v>587</v>
      </c>
      <c r="D2" s="322" t="s">
        <v>588</v>
      </c>
      <c r="E2" s="322" t="s">
        <v>589</v>
      </c>
      <c r="F2" s="322" t="s">
        <v>590</v>
      </c>
      <c r="G2" s="323" t="s">
        <v>682</v>
      </c>
      <c r="H2" s="323" t="s">
        <v>578</v>
      </c>
      <c r="I2" s="323" t="s">
        <v>579</v>
      </c>
      <c r="J2" s="323" t="s">
        <v>580</v>
      </c>
      <c r="K2" s="324" t="s">
        <v>683</v>
      </c>
      <c r="L2" s="325" t="s">
        <v>581</v>
      </c>
    </row>
    <row r="3" spans="1:12" x14ac:dyDescent="0.35">
      <c r="A3" s="257"/>
      <c r="B3" s="326"/>
      <c r="C3" s="326"/>
      <c r="D3" s="326"/>
      <c r="E3" s="326"/>
      <c r="F3" s="326"/>
      <c r="G3" s="326"/>
      <c r="H3" s="326"/>
      <c r="I3" s="326"/>
      <c r="J3" s="326"/>
      <c r="K3" s="326"/>
      <c r="L3" s="326"/>
    </row>
    <row r="4" spans="1:12" x14ac:dyDescent="0.35">
      <c r="A4" s="239" t="s">
        <v>207</v>
      </c>
      <c r="B4" s="318" t="e">
        <f>Mellomregninger!L4</f>
        <v>#VALUE!</v>
      </c>
      <c r="C4" s="318" t="e">
        <f>Mellomregninger!BC4</f>
        <v>#VALUE!</v>
      </c>
      <c r="D4" s="318" t="e">
        <f>Mellomregninger!BO4</f>
        <v>#VALUE!</v>
      </c>
      <c r="E4" s="318" t="e">
        <f>Mellomregninger!CA4</f>
        <v>#VALUE!</v>
      </c>
      <c r="F4" s="327" t="e">
        <f>IF(ISNUMBER(Mellomregninger!AQ4),IF(Mellomregninger!AQ4&gt;Mellomregninger!AE4,Mellomregninger!AQ4,Mellomregninger!AE4),Mellomregninger!AE4)</f>
        <v>#VALUE!</v>
      </c>
      <c r="G4" s="319" t="e">
        <f>B4/Stoff!$G4</f>
        <v>#VALUE!</v>
      </c>
      <c r="H4" s="319" t="e">
        <f>C4/Stoff!$G4</f>
        <v>#VALUE!</v>
      </c>
      <c r="I4" s="319" t="e">
        <f>D4/Stoff!$G4</f>
        <v>#VALUE!</v>
      </c>
      <c r="J4" s="319" t="e">
        <f>E4/Stoff!$G4</f>
        <v>#VALUE!</v>
      </c>
      <c r="K4" s="328" t="e">
        <f>IF(F4=Mellomregninger!AE4,Mellomregninger!V4,Mellomregninger!AH4)</f>
        <v>#VALUE!</v>
      </c>
      <c r="L4" s="319" t="e">
        <f>F4/Stoff!$G4</f>
        <v>#VALUE!</v>
      </c>
    </row>
    <row r="5" spans="1:12" x14ac:dyDescent="0.35">
      <c r="A5" s="239" t="s">
        <v>206</v>
      </c>
      <c r="B5" s="318" t="e">
        <f>Mellomregninger!L5</f>
        <v>#VALUE!</v>
      </c>
      <c r="C5" s="318" t="e">
        <f>Mellomregninger!BC5</f>
        <v>#VALUE!</v>
      </c>
      <c r="D5" s="318" t="e">
        <f>Mellomregninger!BO5</f>
        <v>#VALUE!</v>
      </c>
      <c r="E5" s="318" t="e">
        <f>Mellomregninger!CA5</f>
        <v>#VALUE!</v>
      </c>
      <c r="F5" s="327" t="e">
        <f>IF(ISNUMBER(Mellomregninger!AQ5),IF(Mellomregninger!AQ5&gt;Mellomregninger!AE5,Mellomregninger!AQ5,Mellomregninger!AE5),Mellomregninger!AE5)</f>
        <v>#VALUE!</v>
      </c>
      <c r="G5" s="319" t="e">
        <f>B5/Stoff!$G5</f>
        <v>#VALUE!</v>
      </c>
      <c r="H5" s="319" t="e">
        <f>C5/Stoff!$G5</f>
        <v>#VALUE!</v>
      </c>
      <c r="I5" s="319" t="e">
        <f>D5/Stoff!$G5</f>
        <v>#VALUE!</v>
      </c>
      <c r="J5" s="319" t="e">
        <f>E5/Stoff!$G5</f>
        <v>#VALUE!</v>
      </c>
      <c r="K5" s="328" t="e">
        <f>IF(F5=Mellomregninger!AE5,Mellomregninger!V5,Mellomregninger!AH5)</f>
        <v>#VALUE!</v>
      </c>
      <c r="L5" s="319" t="e">
        <f>F5/Stoff!$G5</f>
        <v>#VALUE!</v>
      </c>
    </row>
    <row r="6" spans="1:12" x14ac:dyDescent="0.35">
      <c r="A6" s="239" t="s">
        <v>205</v>
      </c>
      <c r="B6" s="318" t="e">
        <f>Mellomregninger!L6</f>
        <v>#VALUE!</v>
      </c>
      <c r="C6" s="318" t="e">
        <f>Mellomregninger!BC6</f>
        <v>#VALUE!</v>
      </c>
      <c r="D6" s="318" t="e">
        <f>Mellomregninger!BO6</f>
        <v>#VALUE!</v>
      </c>
      <c r="E6" s="318" t="e">
        <f>Mellomregninger!CA6</f>
        <v>#VALUE!</v>
      </c>
      <c r="F6" s="327" t="e">
        <f>IF(ISNUMBER(Mellomregninger!AQ6),IF(Mellomregninger!AQ6&gt;Mellomregninger!AE6,Mellomregninger!AQ6,Mellomregninger!AE6),Mellomregninger!AE6)</f>
        <v>#VALUE!</v>
      </c>
      <c r="G6" s="319" t="e">
        <f>B6/Stoff!$G6</f>
        <v>#VALUE!</v>
      </c>
      <c r="H6" s="319" t="e">
        <f>C6/Stoff!$G6</f>
        <v>#VALUE!</v>
      </c>
      <c r="I6" s="319" t="e">
        <f>D6/Stoff!$G6</f>
        <v>#VALUE!</v>
      </c>
      <c r="J6" s="319" t="e">
        <f>E6/Stoff!$G6</f>
        <v>#VALUE!</v>
      </c>
      <c r="K6" s="328" t="e">
        <f>IF(F6=Mellomregninger!AE6,Mellomregninger!V6,Mellomregninger!AH6)</f>
        <v>#VALUE!</v>
      </c>
      <c r="L6" s="319" t="e">
        <f>F6/Stoff!$G6</f>
        <v>#VALUE!</v>
      </c>
    </row>
    <row r="7" spans="1:12" x14ac:dyDescent="0.35">
      <c r="A7" s="239" t="s">
        <v>204</v>
      </c>
      <c r="B7" s="318" t="e">
        <f>Mellomregninger!L7</f>
        <v>#VALUE!</v>
      </c>
      <c r="C7" s="318" t="e">
        <f>Mellomregninger!BC7</f>
        <v>#VALUE!</v>
      </c>
      <c r="D7" s="318" t="e">
        <f>Mellomregninger!BO7</f>
        <v>#VALUE!</v>
      </c>
      <c r="E7" s="318" t="e">
        <f>Mellomregninger!CA7</f>
        <v>#VALUE!</v>
      </c>
      <c r="F7" s="327" t="e">
        <f>IF(ISNUMBER(Mellomregninger!AQ7),IF(Mellomregninger!AQ7&gt;Mellomregninger!AE7,Mellomregninger!AQ7,Mellomregninger!AE7),Mellomregninger!AE7)</f>
        <v>#VALUE!</v>
      </c>
      <c r="G7" s="319" t="e">
        <f>B7/Stoff!$G7</f>
        <v>#VALUE!</v>
      </c>
      <c r="H7" s="319" t="e">
        <f>C7/Stoff!$G7</f>
        <v>#VALUE!</v>
      </c>
      <c r="I7" s="319" t="e">
        <f>D7/Stoff!$G7</f>
        <v>#VALUE!</v>
      </c>
      <c r="J7" s="319" t="e">
        <f>E7/Stoff!$G7</f>
        <v>#VALUE!</v>
      </c>
      <c r="K7" s="328" t="e">
        <f>IF(F7=Mellomregninger!AE7,Mellomregninger!V7,Mellomregninger!AH7)</f>
        <v>#VALUE!</v>
      </c>
      <c r="L7" s="319" t="e">
        <f>F7/Stoff!$G7</f>
        <v>#VALUE!</v>
      </c>
    </row>
    <row r="8" spans="1:12" x14ac:dyDescent="0.35">
      <c r="A8" s="239" t="s">
        <v>203</v>
      </c>
      <c r="B8" s="318" t="e">
        <f>Mellomregninger!L8</f>
        <v>#VALUE!</v>
      </c>
      <c r="C8" s="318" t="e">
        <f>Mellomregninger!BC8</f>
        <v>#VALUE!</v>
      </c>
      <c r="D8" s="318" t="e">
        <f>Mellomregninger!BO8</f>
        <v>#VALUE!</v>
      </c>
      <c r="E8" s="318" t="e">
        <f>Mellomregninger!CA8</f>
        <v>#VALUE!</v>
      </c>
      <c r="F8" s="327" t="e">
        <f>IF(ISNUMBER(Mellomregninger!AQ8),IF(Mellomregninger!AQ8&gt;Mellomregninger!AE8,Mellomregninger!AQ8,Mellomregninger!AE8),Mellomregninger!AE8)</f>
        <v>#VALUE!</v>
      </c>
      <c r="G8" s="319" t="e">
        <f>B8/Stoff!$G8</f>
        <v>#VALUE!</v>
      </c>
      <c r="H8" s="319" t="e">
        <f>C8/Stoff!$G8</f>
        <v>#VALUE!</v>
      </c>
      <c r="I8" s="319" t="e">
        <f>D8/Stoff!$G8</f>
        <v>#VALUE!</v>
      </c>
      <c r="J8" s="319" t="e">
        <f>E8/Stoff!$G8</f>
        <v>#VALUE!</v>
      </c>
      <c r="K8" s="328" t="e">
        <f>IF(F8=Mellomregninger!AE8,Mellomregninger!V8,Mellomregninger!AH8)</f>
        <v>#VALUE!</v>
      </c>
      <c r="L8" s="319" t="e">
        <f>F8/Stoff!$G8</f>
        <v>#VALUE!</v>
      </c>
    </row>
    <row r="9" spans="1:12" x14ac:dyDescent="0.35">
      <c r="A9" s="239" t="s">
        <v>202</v>
      </c>
      <c r="B9" s="318" t="e">
        <f>Mellomregninger!L9</f>
        <v>#VALUE!</v>
      </c>
      <c r="C9" s="318" t="e">
        <f>Mellomregninger!BC9</f>
        <v>#VALUE!</v>
      </c>
      <c r="D9" s="318" t="e">
        <f>Mellomregninger!BO9</f>
        <v>#VALUE!</v>
      </c>
      <c r="E9" s="318" t="e">
        <f>Mellomregninger!CA9</f>
        <v>#VALUE!</v>
      </c>
      <c r="F9" s="327" t="e">
        <f>IF(ISNUMBER(Mellomregninger!AQ9),IF(Mellomregninger!AQ9&gt;Mellomregninger!AE9,Mellomregninger!AQ9,Mellomregninger!AE9),Mellomregninger!AE9)</f>
        <v>#VALUE!</v>
      </c>
      <c r="G9" s="319" t="e">
        <f>B9/Stoff!$G9</f>
        <v>#VALUE!</v>
      </c>
      <c r="H9" s="319" t="e">
        <f>C9/Stoff!$G9</f>
        <v>#VALUE!</v>
      </c>
      <c r="I9" s="319" t="e">
        <f>D9/Stoff!$G9</f>
        <v>#VALUE!</v>
      </c>
      <c r="J9" s="319" t="e">
        <f>E9/Stoff!$G9</f>
        <v>#VALUE!</v>
      </c>
      <c r="K9" s="328" t="e">
        <f>IF(F9=Mellomregninger!AE9,Mellomregninger!V9,Mellomregninger!AH9)</f>
        <v>#VALUE!</v>
      </c>
      <c r="L9" s="319" t="e">
        <f>F9/Stoff!$G9</f>
        <v>#VALUE!</v>
      </c>
    </row>
    <row r="10" spans="1:12" x14ac:dyDescent="0.35">
      <c r="A10" s="239" t="s">
        <v>201</v>
      </c>
      <c r="B10" s="318" t="e">
        <f>Mellomregninger!L10</f>
        <v>#VALUE!</v>
      </c>
      <c r="C10" s="318" t="e">
        <f>Mellomregninger!BC10</f>
        <v>#VALUE!</v>
      </c>
      <c r="D10" s="318" t="e">
        <f>Mellomregninger!BO10</f>
        <v>#VALUE!</v>
      </c>
      <c r="E10" s="318" t="e">
        <f>Mellomregninger!CA10</f>
        <v>#VALUE!</v>
      </c>
      <c r="F10" s="327" t="e">
        <f>IF(ISNUMBER(Mellomregninger!AQ10),IF(Mellomregninger!AQ10&gt;Mellomregninger!AE10,Mellomregninger!AQ10,Mellomregninger!AE10),Mellomregninger!AE10)</f>
        <v>#VALUE!</v>
      </c>
      <c r="G10" s="319" t="e">
        <f>B10/Stoff!$G10</f>
        <v>#VALUE!</v>
      </c>
      <c r="H10" s="319" t="e">
        <f>C10/Stoff!$G10</f>
        <v>#VALUE!</v>
      </c>
      <c r="I10" s="319" t="e">
        <f>D10/Stoff!$G10</f>
        <v>#VALUE!</v>
      </c>
      <c r="J10" s="319" t="e">
        <f>E10/Stoff!$G10</f>
        <v>#VALUE!</v>
      </c>
      <c r="K10" s="328" t="e">
        <f>IF(F10=Mellomregninger!AE10,Mellomregninger!V10,Mellomregninger!AH10)</f>
        <v>#VALUE!</v>
      </c>
      <c r="L10" s="319" t="e">
        <f>F10/Stoff!$G10</f>
        <v>#VALUE!</v>
      </c>
    </row>
    <row r="11" spans="1:12" x14ac:dyDescent="0.35">
      <c r="A11" s="239" t="s">
        <v>200</v>
      </c>
      <c r="B11" s="318" t="e">
        <f>Mellomregninger!L11</f>
        <v>#VALUE!</v>
      </c>
      <c r="C11" s="318" t="e">
        <f>Mellomregninger!BC11</f>
        <v>#VALUE!</v>
      </c>
      <c r="D11" s="318" t="e">
        <f>Mellomregninger!BO11</f>
        <v>#VALUE!</v>
      </c>
      <c r="E11" s="318" t="e">
        <f>Mellomregninger!CA11</f>
        <v>#VALUE!</v>
      </c>
      <c r="F11" s="327" t="e">
        <f>IF(ISNUMBER(Mellomregninger!AQ11),IF(Mellomregninger!AQ11&gt;Mellomregninger!AE11,Mellomregninger!AQ11,Mellomregninger!AE11),Mellomregninger!AE11)</f>
        <v>#VALUE!</v>
      </c>
      <c r="G11" s="319" t="e">
        <f>B11/Stoff!$G11</f>
        <v>#VALUE!</v>
      </c>
      <c r="H11" s="319" t="e">
        <f>C11/Stoff!$G11</f>
        <v>#VALUE!</v>
      </c>
      <c r="I11" s="319" t="e">
        <f>D11/Stoff!$G11</f>
        <v>#VALUE!</v>
      </c>
      <c r="J11" s="319" t="e">
        <f>E11/Stoff!$G11</f>
        <v>#VALUE!</v>
      </c>
      <c r="K11" s="328" t="e">
        <f>IF(F11=Mellomregninger!AE11,Mellomregninger!V11,Mellomregninger!AH11)</f>
        <v>#VALUE!</v>
      </c>
      <c r="L11" s="319" t="e">
        <f>F11/Stoff!$G11</f>
        <v>#VALUE!</v>
      </c>
    </row>
    <row r="12" spans="1:12" x14ac:dyDescent="0.35">
      <c r="A12" s="239" t="s">
        <v>199</v>
      </c>
      <c r="B12" s="318" t="e">
        <f>Mellomregninger!L12</f>
        <v>#VALUE!</v>
      </c>
      <c r="C12" s="318" t="e">
        <f>Mellomregninger!BC12</f>
        <v>#VALUE!</v>
      </c>
      <c r="D12" s="318" t="e">
        <f>Mellomregninger!BO12</f>
        <v>#VALUE!</v>
      </c>
      <c r="E12" s="318" t="e">
        <f>Mellomregninger!CA12</f>
        <v>#VALUE!</v>
      </c>
      <c r="F12" s="327" t="e">
        <f>IF(ISNUMBER(Mellomregninger!AQ12),IF(Mellomregninger!AQ12&gt;Mellomregninger!AE12,Mellomregninger!AQ12,Mellomregninger!AE12),Mellomregninger!AE12)</f>
        <v>#VALUE!</v>
      </c>
      <c r="G12" s="319" t="e">
        <f>B12/Stoff!$G12</f>
        <v>#VALUE!</v>
      </c>
      <c r="H12" s="319" t="e">
        <f>C12/Stoff!$G12</f>
        <v>#VALUE!</v>
      </c>
      <c r="I12" s="319" t="e">
        <f>D12/Stoff!$G12</f>
        <v>#VALUE!</v>
      </c>
      <c r="J12" s="319" t="e">
        <f>E12/Stoff!$G12</f>
        <v>#VALUE!</v>
      </c>
      <c r="K12" s="328" t="e">
        <f>IF(F12=Mellomregninger!AE12,Mellomregninger!V12,Mellomregninger!AH12)</f>
        <v>#VALUE!</v>
      </c>
      <c r="L12" s="319" t="e">
        <f>F12/Stoff!$G12</f>
        <v>#VALUE!</v>
      </c>
    </row>
    <row r="13" spans="1:12" x14ac:dyDescent="0.35">
      <c r="A13" s="239" t="s">
        <v>198</v>
      </c>
      <c r="B13" s="318" t="e">
        <f>Mellomregninger!L13</f>
        <v>#VALUE!</v>
      </c>
      <c r="C13" s="318" t="e">
        <f>Mellomregninger!BC13</f>
        <v>#VALUE!</v>
      </c>
      <c r="D13" s="318" t="e">
        <f>Mellomregninger!BO13</f>
        <v>#VALUE!</v>
      </c>
      <c r="E13" s="318" t="e">
        <f>Mellomregninger!CA13</f>
        <v>#VALUE!</v>
      </c>
      <c r="F13" s="327" t="e">
        <f>IF(ISNUMBER(Mellomregninger!AQ13),IF(Mellomregninger!AQ13&gt;Mellomregninger!AE13,Mellomregninger!AQ13,Mellomregninger!AE13),Mellomregninger!AE13)</f>
        <v>#VALUE!</v>
      </c>
      <c r="G13" s="319" t="e">
        <f>B13/Stoff!$G13</f>
        <v>#VALUE!</v>
      </c>
      <c r="H13" s="319" t="e">
        <f>C13/Stoff!$G13</f>
        <v>#VALUE!</v>
      </c>
      <c r="I13" s="319" t="e">
        <f>D13/Stoff!$G13</f>
        <v>#VALUE!</v>
      </c>
      <c r="J13" s="319" t="e">
        <f>E13/Stoff!$G13</f>
        <v>#VALUE!</v>
      </c>
      <c r="K13" s="328" t="e">
        <f>IF(F13=Mellomregninger!AE13,Mellomregninger!V13,Mellomregninger!AH13)</f>
        <v>#VALUE!</v>
      </c>
      <c r="L13" s="319" t="e">
        <f>F13/Stoff!$G13</f>
        <v>#VALUE!</v>
      </c>
    </row>
    <row r="14" spans="1:12" x14ac:dyDescent="0.35">
      <c r="A14" s="239" t="s">
        <v>197</v>
      </c>
      <c r="B14" s="318" t="e">
        <f>Mellomregninger!L14</f>
        <v>#VALUE!</v>
      </c>
      <c r="C14" s="318" t="e">
        <f>Mellomregninger!BC14</f>
        <v>#VALUE!</v>
      </c>
      <c r="D14" s="318" t="e">
        <f>Mellomregninger!BO14</f>
        <v>#VALUE!</v>
      </c>
      <c r="E14" s="318" t="e">
        <f>Mellomregninger!CA14</f>
        <v>#VALUE!</v>
      </c>
      <c r="F14" s="327" t="e">
        <f>IF(ISNUMBER(Mellomregninger!AQ14),IF(Mellomregninger!AQ14&gt;Mellomregninger!AE14,Mellomregninger!AQ14,Mellomregninger!AE14),Mellomregninger!AE14)</f>
        <v>#VALUE!</v>
      </c>
      <c r="G14" s="319" t="e">
        <f>B14/Stoff!$G14</f>
        <v>#VALUE!</v>
      </c>
      <c r="H14" s="319" t="e">
        <f>C14/Stoff!$G14</f>
        <v>#VALUE!</v>
      </c>
      <c r="I14" s="319" t="e">
        <f>D14/Stoff!$G14</f>
        <v>#VALUE!</v>
      </c>
      <c r="J14" s="319" t="e">
        <f>E14/Stoff!$G14</f>
        <v>#VALUE!</v>
      </c>
      <c r="K14" s="328" t="e">
        <f>IF(F14=Mellomregninger!AE14,Mellomregninger!V14,Mellomregninger!AH14)</f>
        <v>#VALUE!</v>
      </c>
      <c r="L14" s="319" t="e">
        <f>F14/Stoff!$G14</f>
        <v>#VALUE!</v>
      </c>
    </row>
    <row r="15" spans="1:12" x14ac:dyDescent="0.35">
      <c r="A15" s="239" t="s">
        <v>195</v>
      </c>
      <c r="B15" s="318" t="e">
        <f>Mellomregninger!L15</f>
        <v>#VALUE!</v>
      </c>
      <c r="C15" s="318" t="e">
        <f>Mellomregninger!BC15</f>
        <v>#VALUE!</v>
      </c>
      <c r="D15" s="318" t="e">
        <f>Mellomregninger!BO15</f>
        <v>#VALUE!</v>
      </c>
      <c r="E15" s="318" t="e">
        <f>Mellomregninger!CA15</f>
        <v>#VALUE!</v>
      </c>
      <c r="F15" s="327" t="e">
        <f>IF(ISNUMBER(Mellomregninger!AQ15),IF(Mellomregninger!AQ15&gt;Mellomregninger!AE15,Mellomregninger!AQ15,Mellomregninger!AE15),Mellomregninger!AE15)</f>
        <v>#VALUE!</v>
      </c>
      <c r="G15" s="319" t="e">
        <f>B15/Stoff!$G15</f>
        <v>#VALUE!</v>
      </c>
      <c r="H15" s="319" t="e">
        <f>C15/Stoff!$G15</f>
        <v>#VALUE!</v>
      </c>
      <c r="I15" s="319" t="e">
        <f>D15/Stoff!$G15</f>
        <v>#VALUE!</v>
      </c>
      <c r="J15" s="319" t="e">
        <f>E15/Stoff!$G15</f>
        <v>#VALUE!</v>
      </c>
      <c r="K15" s="328" t="e">
        <f>IF(F15=Mellomregninger!AE15,Mellomregninger!V15,Mellomregninger!AH15)</f>
        <v>#VALUE!</v>
      </c>
      <c r="L15" s="319" t="e">
        <f>F15/Stoff!$G15</f>
        <v>#VALUE!</v>
      </c>
    </row>
    <row r="16" spans="1:12" x14ac:dyDescent="0.35">
      <c r="A16" s="239" t="s">
        <v>194</v>
      </c>
      <c r="B16" s="318" t="e">
        <f>Mellomregninger!L16</f>
        <v>#VALUE!</v>
      </c>
      <c r="C16" s="318" t="e">
        <f>Mellomregninger!BC16</f>
        <v>#VALUE!</v>
      </c>
      <c r="D16" s="318" t="e">
        <f>Mellomregninger!BO16</f>
        <v>#VALUE!</v>
      </c>
      <c r="E16" s="318" t="e">
        <f>Mellomregninger!CA16</f>
        <v>#VALUE!</v>
      </c>
      <c r="F16" s="327" t="e">
        <f>IF(ISNUMBER(Mellomregninger!AQ16),IF(Mellomregninger!AQ16&gt;Mellomregninger!AE16,Mellomregninger!AQ16,Mellomregninger!AE16),Mellomregninger!AE16)</f>
        <v>#VALUE!</v>
      </c>
      <c r="G16" s="319" t="e">
        <f>B16/Stoff!$G16</f>
        <v>#VALUE!</v>
      </c>
      <c r="H16" s="319" t="e">
        <f>C16/Stoff!$G16</f>
        <v>#VALUE!</v>
      </c>
      <c r="I16" s="319" t="e">
        <f>D16/Stoff!$G16</f>
        <v>#VALUE!</v>
      </c>
      <c r="J16" s="319" t="e">
        <f>E16/Stoff!$G16</f>
        <v>#VALUE!</v>
      </c>
      <c r="K16" s="328" t="e">
        <f>IF(F16=Mellomregninger!AE16,Mellomregninger!V16,Mellomregninger!AH16)</f>
        <v>#VALUE!</v>
      </c>
      <c r="L16" s="319" t="e">
        <f>F16/Stoff!$G16</f>
        <v>#VALUE!</v>
      </c>
    </row>
    <row r="17" spans="1:12" x14ac:dyDescent="0.35">
      <c r="A17" s="239" t="s">
        <v>193</v>
      </c>
      <c r="B17" s="318" t="e">
        <f>Mellomregninger!L17</f>
        <v>#VALUE!</v>
      </c>
      <c r="C17" s="318" t="e">
        <f>Mellomregninger!BC17</f>
        <v>#VALUE!</v>
      </c>
      <c r="D17" s="318" t="e">
        <f>Mellomregninger!BO17</f>
        <v>#VALUE!</v>
      </c>
      <c r="E17" s="318" t="e">
        <f>Mellomregninger!CA17</f>
        <v>#VALUE!</v>
      </c>
      <c r="F17" s="327" t="e">
        <f>IF(ISNUMBER(Mellomregninger!AQ17),IF(Mellomregninger!AQ17&gt;Mellomregninger!AE17,Mellomregninger!AQ17,Mellomregninger!AE17),Mellomregninger!AE17)</f>
        <v>#VALUE!</v>
      </c>
      <c r="G17" s="319" t="e">
        <f>B17/Stoff!$G17</f>
        <v>#VALUE!</v>
      </c>
      <c r="H17" s="319" t="e">
        <f>C17/Stoff!$G17</f>
        <v>#VALUE!</v>
      </c>
      <c r="I17" s="319" t="e">
        <f>D17/Stoff!$G17</f>
        <v>#VALUE!</v>
      </c>
      <c r="J17" s="319" t="e">
        <f>E17/Stoff!$G17</f>
        <v>#VALUE!</v>
      </c>
      <c r="K17" s="328" t="e">
        <f>IF(F17=Mellomregninger!AE17,Mellomregninger!V17,Mellomregninger!AH17)</f>
        <v>#VALUE!</v>
      </c>
      <c r="L17" s="319" t="e">
        <f>F17/Stoff!$G17</f>
        <v>#VALUE!</v>
      </c>
    </row>
    <row r="18" spans="1:12" x14ac:dyDescent="0.35">
      <c r="A18" s="239" t="s">
        <v>192</v>
      </c>
      <c r="B18" s="318" t="e">
        <f>Mellomregninger!L18</f>
        <v>#VALUE!</v>
      </c>
      <c r="C18" s="318" t="e">
        <f>Mellomregninger!BC18</f>
        <v>#VALUE!</v>
      </c>
      <c r="D18" s="318" t="e">
        <f>Mellomregninger!BO18</f>
        <v>#VALUE!</v>
      </c>
      <c r="E18" s="318" t="e">
        <f>Mellomregninger!CA18</f>
        <v>#VALUE!</v>
      </c>
      <c r="F18" s="327" t="e">
        <f>IF(ISNUMBER(Mellomregninger!AQ18),IF(Mellomregninger!AQ18&gt;Mellomregninger!AE18,Mellomregninger!AQ18,Mellomregninger!AE18),Mellomregninger!AE18)</f>
        <v>#VALUE!</v>
      </c>
      <c r="G18" s="319" t="e">
        <f>B18/Stoff!$G18</f>
        <v>#VALUE!</v>
      </c>
      <c r="H18" s="319" t="e">
        <f>C18/Stoff!$G18</f>
        <v>#VALUE!</v>
      </c>
      <c r="I18" s="319" t="e">
        <f>D18/Stoff!$G18</f>
        <v>#VALUE!</v>
      </c>
      <c r="J18" s="319" t="e">
        <f>E18/Stoff!$G18</f>
        <v>#VALUE!</v>
      </c>
      <c r="K18" s="328" t="e">
        <f>IF(F18=Mellomregninger!AE18,Mellomregninger!V18,Mellomregninger!AH18)</f>
        <v>#VALUE!</v>
      </c>
      <c r="L18" s="319" t="e">
        <f>F18/Stoff!$G18</f>
        <v>#VALUE!</v>
      </c>
    </row>
    <row r="19" spans="1:12" x14ac:dyDescent="0.35">
      <c r="A19" s="239" t="s">
        <v>191</v>
      </c>
      <c r="B19" s="318" t="e">
        <f>Mellomregninger!L19</f>
        <v>#VALUE!</v>
      </c>
      <c r="C19" s="318" t="e">
        <f>Mellomregninger!BC19</f>
        <v>#VALUE!</v>
      </c>
      <c r="D19" s="318" t="e">
        <f>Mellomregninger!BO19</f>
        <v>#VALUE!</v>
      </c>
      <c r="E19" s="318" t="e">
        <f>Mellomregninger!CA19</f>
        <v>#VALUE!</v>
      </c>
      <c r="F19" s="327" t="e">
        <f>IF(ISNUMBER(Mellomregninger!AQ19),IF(Mellomregninger!AQ19&gt;Mellomregninger!AE19,Mellomregninger!AQ19,Mellomregninger!AE19),Mellomregninger!AE19)</f>
        <v>#VALUE!</v>
      </c>
      <c r="G19" s="319" t="e">
        <f>B19/Stoff!$G19</f>
        <v>#VALUE!</v>
      </c>
      <c r="H19" s="319" t="e">
        <f>C19/Stoff!$G19</f>
        <v>#VALUE!</v>
      </c>
      <c r="I19" s="319" t="e">
        <f>D19/Stoff!$G19</f>
        <v>#VALUE!</v>
      </c>
      <c r="J19" s="319" t="e">
        <f>E19/Stoff!$G19</f>
        <v>#VALUE!</v>
      </c>
      <c r="K19" s="328" t="e">
        <f>IF(F19=Mellomregninger!AE19,Mellomregninger!V19,Mellomregninger!AH19)</f>
        <v>#VALUE!</v>
      </c>
      <c r="L19" s="319" t="e">
        <f>F19/Stoff!$G19</f>
        <v>#VALUE!</v>
      </c>
    </row>
    <row r="20" spans="1:12" x14ac:dyDescent="0.35">
      <c r="A20" s="239" t="s">
        <v>190</v>
      </c>
      <c r="B20" s="318" t="e">
        <f>Mellomregninger!L20</f>
        <v>#VALUE!</v>
      </c>
      <c r="C20" s="318" t="e">
        <f>Mellomregninger!BC20</f>
        <v>#VALUE!</v>
      </c>
      <c r="D20" s="318" t="e">
        <f>Mellomregninger!BO20</f>
        <v>#VALUE!</v>
      </c>
      <c r="E20" s="318" t="e">
        <f>Mellomregninger!CA20</f>
        <v>#VALUE!</v>
      </c>
      <c r="F20" s="327" t="e">
        <f>IF(ISNUMBER(Mellomregninger!AQ20),IF(Mellomregninger!AQ20&gt;Mellomregninger!AE20,Mellomregninger!AQ20,Mellomregninger!AE20),Mellomregninger!AE20)</f>
        <v>#VALUE!</v>
      </c>
      <c r="G20" s="319" t="e">
        <f>B20/Stoff!$G20</f>
        <v>#VALUE!</v>
      </c>
      <c r="H20" s="319" t="e">
        <f>C20/Stoff!$G20</f>
        <v>#VALUE!</v>
      </c>
      <c r="I20" s="319" t="e">
        <f>D20/Stoff!$G20</f>
        <v>#VALUE!</v>
      </c>
      <c r="J20" s="319" t="e">
        <f>E20/Stoff!$G20</f>
        <v>#VALUE!</v>
      </c>
      <c r="K20" s="328" t="e">
        <f>IF(F20=Mellomregninger!AE20,Mellomregninger!V20,Mellomregninger!AH20)</f>
        <v>#VALUE!</v>
      </c>
      <c r="L20" s="319" t="e">
        <f>F20/Stoff!$G20</f>
        <v>#VALUE!</v>
      </c>
    </row>
    <row r="21" spans="1:12" x14ac:dyDescent="0.35">
      <c r="A21" s="239" t="s">
        <v>189</v>
      </c>
      <c r="B21" s="318" t="e">
        <f>Mellomregninger!L21</f>
        <v>#VALUE!</v>
      </c>
      <c r="C21" s="318" t="e">
        <f>Mellomregninger!BC21</f>
        <v>#VALUE!</v>
      </c>
      <c r="D21" s="318" t="e">
        <f>Mellomregninger!BO21</f>
        <v>#VALUE!</v>
      </c>
      <c r="E21" s="318" t="e">
        <f>Mellomregninger!CA21</f>
        <v>#VALUE!</v>
      </c>
      <c r="F21" s="327" t="e">
        <f>IF(ISNUMBER(Mellomregninger!AQ21),IF(Mellomregninger!AQ21&gt;Mellomregninger!AE21,Mellomregninger!AQ21,Mellomregninger!AE21),Mellomregninger!AE21)</f>
        <v>#VALUE!</v>
      </c>
      <c r="G21" s="319" t="e">
        <f>B21/Stoff!$G21</f>
        <v>#VALUE!</v>
      </c>
      <c r="H21" s="319" t="e">
        <f>C21/Stoff!$G21</f>
        <v>#VALUE!</v>
      </c>
      <c r="I21" s="319" t="e">
        <f>D21/Stoff!$G21</f>
        <v>#VALUE!</v>
      </c>
      <c r="J21" s="319" t="e">
        <f>E21/Stoff!$G21</f>
        <v>#VALUE!</v>
      </c>
      <c r="K21" s="328" t="e">
        <f>IF(F21=Mellomregninger!AE21,Mellomregninger!V21,Mellomregninger!AH21)</f>
        <v>#VALUE!</v>
      </c>
      <c r="L21" s="319" t="e">
        <f>F21/Stoff!$G21</f>
        <v>#VALUE!</v>
      </c>
    </row>
    <row r="22" spans="1:12" x14ac:dyDescent="0.35">
      <c r="A22" s="239" t="s">
        <v>188</v>
      </c>
      <c r="B22" s="318" t="e">
        <f>Mellomregninger!L22</f>
        <v>#VALUE!</v>
      </c>
      <c r="C22" s="318" t="e">
        <f>Mellomregninger!BC22</f>
        <v>#VALUE!</v>
      </c>
      <c r="D22" s="318" t="e">
        <f>Mellomregninger!BO22</f>
        <v>#VALUE!</v>
      </c>
      <c r="E22" s="318" t="e">
        <f>Mellomregninger!CA22</f>
        <v>#VALUE!</v>
      </c>
      <c r="F22" s="327" t="e">
        <f>IF(ISNUMBER(Mellomregninger!AQ22),IF(Mellomregninger!AQ22&gt;Mellomregninger!AE22,Mellomregninger!AQ22,Mellomregninger!AE22),Mellomregninger!AE22)</f>
        <v>#VALUE!</v>
      </c>
      <c r="G22" s="319" t="e">
        <f>B22/Stoff!$G22</f>
        <v>#VALUE!</v>
      </c>
      <c r="H22" s="319" t="e">
        <f>C22/Stoff!$G22</f>
        <v>#VALUE!</v>
      </c>
      <c r="I22" s="319" t="e">
        <f>D22/Stoff!$G22</f>
        <v>#VALUE!</v>
      </c>
      <c r="J22" s="319" t="e">
        <f>E22/Stoff!$G22</f>
        <v>#VALUE!</v>
      </c>
      <c r="K22" s="328" t="e">
        <f>IF(F22=Mellomregninger!AE22,Mellomregninger!V22,Mellomregninger!AH22)</f>
        <v>#VALUE!</v>
      </c>
      <c r="L22" s="319" t="e">
        <f>F22/Stoff!$G22</f>
        <v>#VALUE!</v>
      </c>
    </row>
    <row r="23" spans="1:12" x14ac:dyDescent="0.35">
      <c r="A23" s="239" t="s">
        <v>187</v>
      </c>
      <c r="B23" s="318" t="e">
        <f>Mellomregninger!L23</f>
        <v>#VALUE!</v>
      </c>
      <c r="C23" s="318" t="e">
        <f>Mellomregninger!BC23</f>
        <v>#VALUE!</v>
      </c>
      <c r="D23" s="318" t="e">
        <f>Mellomregninger!BO23</f>
        <v>#VALUE!</v>
      </c>
      <c r="E23" s="318" t="e">
        <f>Mellomregninger!CA23</f>
        <v>#VALUE!</v>
      </c>
      <c r="F23" s="327" t="e">
        <f>IF(ISNUMBER(Mellomregninger!AQ23),IF(Mellomregninger!AQ23&gt;Mellomregninger!AE23,Mellomregninger!AQ23,Mellomregninger!AE23),Mellomregninger!AE23)</f>
        <v>#VALUE!</v>
      </c>
      <c r="G23" s="319" t="e">
        <f>B23/Stoff!$G23</f>
        <v>#VALUE!</v>
      </c>
      <c r="H23" s="319" t="e">
        <f>C23/Stoff!$G23</f>
        <v>#VALUE!</v>
      </c>
      <c r="I23" s="319" t="e">
        <f>D23/Stoff!$G23</f>
        <v>#VALUE!</v>
      </c>
      <c r="J23" s="319" t="e">
        <f>E23/Stoff!$G23</f>
        <v>#VALUE!</v>
      </c>
      <c r="K23" s="328" t="e">
        <f>IF(F23=Mellomregninger!AE23,Mellomregninger!V23,Mellomregninger!AH23)</f>
        <v>#VALUE!</v>
      </c>
      <c r="L23" s="319" t="e">
        <f>F23/Stoff!$G23</f>
        <v>#VALUE!</v>
      </c>
    </row>
    <row r="24" spans="1:12" x14ac:dyDescent="0.35">
      <c r="A24" s="239" t="s">
        <v>186</v>
      </c>
      <c r="B24" s="318" t="e">
        <f>Mellomregninger!L24</f>
        <v>#VALUE!</v>
      </c>
      <c r="C24" s="318" t="e">
        <f>Mellomregninger!BC24</f>
        <v>#VALUE!</v>
      </c>
      <c r="D24" s="318" t="e">
        <f>Mellomregninger!BO24</f>
        <v>#VALUE!</v>
      </c>
      <c r="E24" s="318" t="e">
        <f>Mellomregninger!CA24</f>
        <v>#VALUE!</v>
      </c>
      <c r="F24" s="327" t="e">
        <f>IF(ISNUMBER(Mellomregninger!AQ24),IF(Mellomregninger!AQ24&gt;Mellomregninger!AE24,Mellomregninger!AQ24,Mellomregninger!AE24),Mellomregninger!AE24)</f>
        <v>#VALUE!</v>
      </c>
      <c r="G24" s="319" t="e">
        <f>B24/Stoff!$G24</f>
        <v>#VALUE!</v>
      </c>
      <c r="H24" s="319" t="e">
        <f>C24/Stoff!$G24</f>
        <v>#VALUE!</v>
      </c>
      <c r="I24" s="319" t="e">
        <f>D24/Stoff!$G24</f>
        <v>#VALUE!</v>
      </c>
      <c r="J24" s="319" t="e">
        <f>E24/Stoff!$G24</f>
        <v>#VALUE!</v>
      </c>
      <c r="K24" s="328" t="e">
        <f>IF(F24=Mellomregninger!AE24,Mellomregninger!V24,Mellomregninger!AH24)</f>
        <v>#VALUE!</v>
      </c>
      <c r="L24" s="319" t="e">
        <f>F24/Stoff!$G24</f>
        <v>#VALUE!</v>
      </c>
    </row>
    <row r="25" spans="1:12" x14ac:dyDescent="0.35">
      <c r="A25" s="239" t="s">
        <v>185</v>
      </c>
      <c r="B25" s="318" t="e">
        <f>Mellomregninger!L25</f>
        <v>#VALUE!</v>
      </c>
      <c r="C25" s="318" t="e">
        <f>Mellomregninger!BC25</f>
        <v>#VALUE!</v>
      </c>
      <c r="D25" s="318" t="e">
        <f>Mellomregninger!BO25</f>
        <v>#VALUE!</v>
      </c>
      <c r="E25" s="318" t="e">
        <f>Mellomregninger!CA25</f>
        <v>#VALUE!</v>
      </c>
      <c r="F25" s="327" t="e">
        <f>IF(ISNUMBER(Mellomregninger!AQ25),IF(Mellomregninger!AQ25&gt;Mellomregninger!AE25,Mellomregninger!AQ25,Mellomregninger!AE25),Mellomregninger!AE25)</f>
        <v>#VALUE!</v>
      </c>
      <c r="G25" s="319" t="e">
        <f>B25/Stoff!$G25</f>
        <v>#VALUE!</v>
      </c>
      <c r="H25" s="319" t="e">
        <f>C25/Stoff!$G25</f>
        <v>#VALUE!</v>
      </c>
      <c r="I25" s="319" t="e">
        <f>D25/Stoff!$G25</f>
        <v>#VALUE!</v>
      </c>
      <c r="J25" s="319" t="e">
        <f>E25/Stoff!$G25</f>
        <v>#VALUE!</v>
      </c>
      <c r="K25" s="328" t="e">
        <f>IF(F25=Mellomregninger!AE25,Mellomregninger!V25,Mellomregninger!AH25)</f>
        <v>#VALUE!</v>
      </c>
      <c r="L25" s="319" t="e">
        <f>F25/Stoff!$G25</f>
        <v>#VALUE!</v>
      </c>
    </row>
    <row r="26" spans="1:12" x14ac:dyDescent="0.35">
      <c r="A26" s="239" t="s">
        <v>184</v>
      </c>
      <c r="B26" s="318" t="e">
        <f>Mellomregninger!L26</f>
        <v>#VALUE!</v>
      </c>
      <c r="C26" s="318" t="e">
        <f>Mellomregninger!BC26</f>
        <v>#VALUE!</v>
      </c>
      <c r="D26" s="318" t="e">
        <f>Mellomregninger!BO26</f>
        <v>#VALUE!</v>
      </c>
      <c r="E26" s="318" t="e">
        <f>Mellomregninger!CA26</f>
        <v>#VALUE!</v>
      </c>
      <c r="F26" s="327" t="e">
        <f>IF(ISNUMBER(Mellomregninger!AQ26),IF(Mellomregninger!AQ26&gt;Mellomregninger!AE26,Mellomregninger!AQ26,Mellomregninger!AE26),Mellomregninger!AE26)</f>
        <v>#VALUE!</v>
      </c>
      <c r="G26" s="319" t="e">
        <f>B26/Stoff!$G26</f>
        <v>#VALUE!</v>
      </c>
      <c r="H26" s="319" t="e">
        <f>C26/Stoff!$G26</f>
        <v>#VALUE!</v>
      </c>
      <c r="I26" s="319" t="e">
        <f>D26/Stoff!$G26</f>
        <v>#VALUE!</v>
      </c>
      <c r="J26" s="319" t="e">
        <f>E26/Stoff!$G26</f>
        <v>#VALUE!</v>
      </c>
      <c r="K26" s="328" t="e">
        <f>IF(F26=Mellomregninger!AE26,Mellomregninger!V26,Mellomregninger!AH26)</f>
        <v>#VALUE!</v>
      </c>
      <c r="L26" s="319" t="e">
        <f>F26/Stoff!$G26</f>
        <v>#VALUE!</v>
      </c>
    </row>
    <row r="27" spans="1:12" x14ac:dyDescent="0.35">
      <c r="A27" s="239" t="s">
        <v>183</v>
      </c>
      <c r="B27" s="318" t="e">
        <f>Mellomregninger!L27</f>
        <v>#VALUE!</v>
      </c>
      <c r="C27" s="318" t="e">
        <f>Mellomregninger!BC27</f>
        <v>#VALUE!</v>
      </c>
      <c r="D27" s="318" t="e">
        <f>Mellomregninger!BO27</f>
        <v>#VALUE!</v>
      </c>
      <c r="E27" s="318" t="e">
        <f>Mellomregninger!CA27</f>
        <v>#VALUE!</v>
      </c>
      <c r="F27" s="327" t="e">
        <f>IF(ISNUMBER(Mellomregninger!AQ27),IF(Mellomregninger!AQ27&gt;Mellomregninger!AE27,Mellomregninger!AQ27,Mellomregninger!AE27),Mellomregninger!AE27)</f>
        <v>#VALUE!</v>
      </c>
      <c r="G27" s="319" t="e">
        <f>B27/Stoff!$G27</f>
        <v>#VALUE!</v>
      </c>
      <c r="H27" s="319" t="e">
        <f>C27/Stoff!$G27</f>
        <v>#VALUE!</v>
      </c>
      <c r="I27" s="319" t="e">
        <f>D27/Stoff!$G27</f>
        <v>#VALUE!</v>
      </c>
      <c r="J27" s="319" t="e">
        <f>E27/Stoff!$G27</f>
        <v>#VALUE!</v>
      </c>
      <c r="K27" s="328" t="e">
        <f>IF(F27=Mellomregninger!AE27,Mellomregninger!V27,Mellomregninger!AH27)</f>
        <v>#VALUE!</v>
      </c>
      <c r="L27" s="319" t="e">
        <f>F27/Stoff!$G27</f>
        <v>#VALUE!</v>
      </c>
    </row>
    <row r="28" spans="1:12" x14ac:dyDescent="0.35">
      <c r="A28" s="239" t="s">
        <v>182</v>
      </c>
      <c r="B28" s="318" t="e">
        <f>Mellomregninger!L28</f>
        <v>#VALUE!</v>
      </c>
      <c r="C28" s="318" t="e">
        <f>Mellomregninger!BC28</f>
        <v>#VALUE!</v>
      </c>
      <c r="D28" s="318" t="e">
        <f>Mellomregninger!BO28</f>
        <v>#VALUE!</v>
      </c>
      <c r="E28" s="318" t="e">
        <f>Mellomregninger!CA28</f>
        <v>#VALUE!</v>
      </c>
      <c r="F28" s="327" t="e">
        <f>IF(ISNUMBER(Mellomregninger!AQ28),IF(Mellomregninger!AQ28&gt;Mellomregninger!AE28,Mellomregninger!AQ28,Mellomregninger!AE28),Mellomregninger!AE28)</f>
        <v>#VALUE!</v>
      </c>
      <c r="G28" s="319" t="e">
        <f>B28/Stoff!$G28</f>
        <v>#VALUE!</v>
      </c>
      <c r="H28" s="319" t="e">
        <f>C28/Stoff!$G28</f>
        <v>#VALUE!</v>
      </c>
      <c r="I28" s="319" t="e">
        <f>D28/Stoff!$G28</f>
        <v>#VALUE!</v>
      </c>
      <c r="J28" s="319" t="e">
        <f>E28/Stoff!$G28</f>
        <v>#VALUE!</v>
      </c>
      <c r="K28" s="328" t="e">
        <f>IF(F28=Mellomregninger!AE28,Mellomregninger!V28,Mellomregninger!AH28)</f>
        <v>#VALUE!</v>
      </c>
      <c r="L28" s="319" t="e">
        <f>F28/Stoff!$G28</f>
        <v>#VALUE!</v>
      </c>
    </row>
    <row r="29" spans="1:12" x14ac:dyDescent="0.35">
      <c r="A29" s="239" t="s">
        <v>181</v>
      </c>
      <c r="B29" s="318" t="e">
        <f>Mellomregninger!L29</f>
        <v>#VALUE!</v>
      </c>
      <c r="C29" s="318" t="e">
        <f>Mellomregninger!BC29</f>
        <v>#VALUE!</v>
      </c>
      <c r="D29" s="318" t="e">
        <f>Mellomregninger!BO29</f>
        <v>#VALUE!</v>
      </c>
      <c r="E29" s="318" t="e">
        <f>Mellomregninger!CA29</f>
        <v>#VALUE!</v>
      </c>
      <c r="F29" s="327" t="e">
        <f>IF(ISNUMBER(Mellomregninger!AQ29),IF(Mellomregninger!AQ29&gt;Mellomregninger!AE29,Mellomregninger!AQ29,Mellomregninger!AE29),Mellomregninger!AE29)</f>
        <v>#VALUE!</v>
      </c>
      <c r="G29" s="319" t="e">
        <f>B29/Stoff!$G29</f>
        <v>#VALUE!</v>
      </c>
      <c r="H29" s="319" t="e">
        <f>C29/Stoff!$G29</f>
        <v>#VALUE!</v>
      </c>
      <c r="I29" s="319" t="e">
        <f>D29/Stoff!$G29</f>
        <v>#VALUE!</v>
      </c>
      <c r="J29" s="319" t="e">
        <f>E29/Stoff!$G29</f>
        <v>#VALUE!</v>
      </c>
      <c r="K29" s="328" t="e">
        <f>IF(F29=Mellomregninger!AE29,Mellomregninger!V29,Mellomregninger!AH29)</f>
        <v>#VALUE!</v>
      </c>
      <c r="L29" s="319" t="e">
        <f>F29/Stoff!$G29</f>
        <v>#VALUE!</v>
      </c>
    </row>
    <row r="30" spans="1:12" x14ac:dyDescent="0.35">
      <c r="A30" s="239" t="s">
        <v>180</v>
      </c>
      <c r="B30" s="318" t="e">
        <f>Mellomregninger!L30</f>
        <v>#VALUE!</v>
      </c>
      <c r="C30" s="318" t="e">
        <f>Mellomregninger!BC30</f>
        <v>#VALUE!</v>
      </c>
      <c r="D30" s="318" t="e">
        <f>Mellomregninger!BO30</f>
        <v>#VALUE!</v>
      </c>
      <c r="E30" s="318" t="e">
        <f>Mellomregninger!CA30</f>
        <v>#VALUE!</v>
      </c>
      <c r="F30" s="327" t="e">
        <f>IF(ISNUMBER(Mellomregninger!AQ30),IF(Mellomregninger!AQ30&gt;Mellomregninger!AE30,Mellomregninger!AQ30,Mellomregninger!AE30),Mellomregninger!AE30)</f>
        <v>#VALUE!</v>
      </c>
      <c r="G30" s="319" t="e">
        <f>B30/Stoff!$G30</f>
        <v>#VALUE!</v>
      </c>
      <c r="H30" s="319" t="e">
        <f>C30/Stoff!$G30</f>
        <v>#VALUE!</v>
      </c>
      <c r="I30" s="319" t="e">
        <f>D30/Stoff!$G30</f>
        <v>#VALUE!</v>
      </c>
      <c r="J30" s="319" t="e">
        <f>E30/Stoff!$G30</f>
        <v>#VALUE!</v>
      </c>
      <c r="K30" s="328" t="e">
        <f>IF(F30=Mellomregninger!AE30,Mellomregninger!V30,Mellomregninger!AH30)</f>
        <v>#VALUE!</v>
      </c>
      <c r="L30" s="319" t="e">
        <f>F30/Stoff!$G30</f>
        <v>#VALUE!</v>
      </c>
    </row>
    <row r="31" spans="1:12" x14ac:dyDescent="0.35">
      <c r="A31" s="239" t="s">
        <v>179</v>
      </c>
      <c r="B31" s="318" t="e">
        <f>Mellomregninger!L31</f>
        <v>#VALUE!</v>
      </c>
      <c r="C31" s="318" t="e">
        <f>Mellomregninger!BC31</f>
        <v>#VALUE!</v>
      </c>
      <c r="D31" s="318" t="e">
        <f>Mellomregninger!BO31</f>
        <v>#VALUE!</v>
      </c>
      <c r="E31" s="318" t="e">
        <f>Mellomregninger!CA31</f>
        <v>#VALUE!</v>
      </c>
      <c r="F31" s="327" t="e">
        <f>IF(ISNUMBER(Mellomregninger!AQ31),IF(Mellomregninger!AQ31&gt;Mellomregninger!AE31,Mellomregninger!AQ31,Mellomregninger!AE31),Mellomregninger!AE31)</f>
        <v>#VALUE!</v>
      </c>
      <c r="G31" s="319" t="e">
        <f>B31/Stoff!$G31</f>
        <v>#VALUE!</v>
      </c>
      <c r="H31" s="319" t="e">
        <f>C31/Stoff!$G31</f>
        <v>#VALUE!</v>
      </c>
      <c r="I31" s="319" t="e">
        <f>D31/Stoff!$G31</f>
        <v>#VALUE!</v>
      </c>
      <c r="J31" s="319" t="e">
        <f>E31/Stoff!$G31</f>
        <v>#VALUE!</v>
      </c>
      <c r="K31" s="328" t="e">
        <f>IF(F31=Mellomregninger!AE31,Mellomregninger!V31,Mellomregninger!AH31)</f>
        <v>#VALUE!</v>
      </c>
      <c r="L31" s="319" t="e">
        <f>F31/Stoff!$G31</f>
        <v>#VALUE!</v>
      </c>
    </row>
    <row r="32" spans="1:12" x14ac:dyDescent="0.35">
      <c r="A32" s="239" t="s">
        <v>178</v>
      </c>
      <c r="B32" s="318" t="e">
        <f>Mellomregninger!L32</f>
        <v>#VALUE!</v>
      </c>
      <c r="C32" s="318" t="e">
        <f>Mellomregninger!BC32</f>
        <v>#VALUE!</v>
      </c>
      <c r="D32" s="318" t="e">
        <f>Mellomregninger!BO32</f>
        <v>#VALUE!</v>
      </c>
      <c r="E32" s="318" t="e">
        <f>Mellomregninger!CA32</f>
        <v>#VALUE!</v>
      </c>
      <c r="F32" s="327" t="e">
        <f>IF(ISNUMBER(Mellomregninger!AQ32),IF(Mellomregninger!AQ32&gt;Mellomregninger!AE32,Mellomregninger!AQ32,Mellomregninger!AE32),Mellomregninger!AE32)</f>
        <v>#VALUE!</v>
      </c>
      <c r="G32" s="319" t="e">
        <f>B32/Stoff!$G32</f>
        <v>#VALUE!</v>
      </c>
      <c r="H32" s="319" t="e">
        <f>C32/Stoff!$G32</f>
        <v>#VALUE!</v>
      </c>
      <c r="I32" s="319" t="e">
        <f>D32/Stoff!$G32</f>
        <v>#VALUE!</v>
      </c>
      <c r="J32" s="319" t="e">
        <f>E32/Stoff!$G32</f>
        <v>#VALUE!</v>
      </c>
      <c r="K32" s="328" t="e">
        <f>IF(F32=Mellomregninger!AE32,Mellomregninger!V32,Mellomregninger!AH32)</f>
        <v>#VALUE!</v>
      </c>
      <c r="L32" s="319" t="e">
        <f>F32/Stoff!$G32</f>
        <v>#VALUE!</v>
      </c>
    </row>
    <row r="33" spans="1:12" x14ac:dyDescent="0.35">
      <c r="A33" s="239" t="s">
        <v>177</v>
      </c>
      <c r="B33" s="318" t="e">
        <f>Mellomregninger!L33</f>
        <v>#VALUE!</v>
      </c>
      <c r="C33" s="318" t="e">
        <f>Mellomregninger!BC33</f>
        <v>#VALUE!</v>
      </c>
      <c r="D33" s="318" t="e">
        <f>Mellomregninger!BO33</f>
        <v>#VALUE!</v>
      </c>
      <c r="E33" s="318" t="e">
        <f>Mellomregninger!CA33</f>
        <v>#VALUE!</v>
      </c>
      <c r="F33" s="327" t="e">
        <f>IF(ISNUMBER(Mellomregninger!AQ33),IF(Mellomregninger!AQ33&gt;Mellomregninger!AE33,Mellomregninger!AQ33,Mellomregninger!AE33),Mellomregninger!AE33)</f>
        <v>#VALUE!</v>
      </c>
      <c r="G33" s="319" t="e">
        <f>B33/Stoff!$G33</f>
        <v>#VALUE!</v>
      </c>
      <c r="H33" s="319" t="e">
        <f>C33/Stoff!$G33</f>
        <v>#VALUE!</v>
      </c>
      <c r="I33" s="319" t="e">
        <f>D33/Stoff!$G33</f>
        <v>#VALUE!</v>
      </c>
      <c r="J33" s="319" t="e">
        <f>E33/Stoff!$G33</f>
        <v>#VALUE!</v>
      </c>
      <c r="K33" s="328" t="e">
        <f>IF(F33=Mellomregninger!AE33,Mellomregninger!V33,Mellomregninger!AH33)</f>
        <v>#VALUE!</v>
      </c>
      <c r="L33" s="319" t="e">
        <f>F33/Stoff!$G33</f>
        <v>#VALUE!</v>
      </c>
    </row>
    <row r="34" spans="1:12" x14ac:dyDescent="0.35">
      <c r="A34" s="239" t="s">
        <v>176</v>
      </c>
      <c r="B34" s="318" t="e">
        <f>Mellomregninger!L34</f>
        <v>#VALUE!</v>
      </c>
      <c r="C34" s="318" t="e">
        <f>Mellomregninger!BC34</f>
        <v>#VALUE!</v>
      </c>
      <c r="D34" s="318" t="e">
        <f>Mellomregninger!BO34</f>
        <v>#VALUE!</v>
      </c>
      <c r="E34" s="318" t="e">
        <f>Mellomregninger!CA34</f>
        <v>#VALUE!</v>
      </c>
      <c r="F34" s="327" t="e">
        <f>IF(ISNUMBER(Mellomregninger!AQ34),IF(Mellomregninger!AQ34&gt;Mellomregninger!AE34,Mellomregninger!AQ34,Mellomregninger!AE34),Mellomregninger!AE34)</f>
        <v>#VALUE!</v>
      </c>
      <c r="G34" s="319" t="e">
        <f>B34/Stoff!$G34</f>
        <v>#VALUE!</v>
      </c>
      <c r="H34" s="319" t="e">
        <f>C34/Stoff!$G34</f>
        <v>#VALUE!</v>
      </c>
      <c r="I34" s="319" t="e">
        <f>D34/Stoff!$G34</f>
        <v>#VALUE!</v>
      </c>
      <c r="J34" s="319" t="e">
        <f>E34/Stoff!$G34</f>
        <v>#VALUE!</v>
      </c>
      <c r="K34" s="328" t="e">
        <f>IF(F34=Mellomregninger!AE34,Mellomregninger!V34,Mellomregninger!AH34)</f>
        <v>#VALUE!</v>
      </c>
      <c r="L34" s="319" t="e">
        <f>F34/Stoff!$G34</f>
        <v>#VALUE!</v>
      </c>
    </row>
    <row r="35" spans="1:12" x14ac:dyDescent="0.35">
      <c r="A35" s="239" t="s">
        <v>175</v>
      </c>
      <c r="B35" s="318" t="e">
        <f>Mellomregninger!L35</f>
        <v>#VALUE!</v>
      </c>
      <c r="C35" s="318" t="e">
        <f>Mellomregninger!BC35</f>
        <v>#VALUE!</v>
      </c>
      <c r="D35" s="318" t="e">
        <f>Mellomregninger!BO35</f>
        <v>#VALUE!</v>
      </c>
      <c r="E35" s="318" t="e">
        <f>Mellomregninger!CA35</f>
        <v>#VALUE!</v>
      </c>
      <c r="F35" s="327" t="e">
        <f>IF(ISNUMBER(Mellomregninger!AQ35),IF(Mellomregninger!AQ35&gt;Mellomregninger!AE35,Mellomregninger!AQ35,Mellomregninger!AE35),Mellomregninger!AE35)</f>
        <v>#VALUE!</v>
      </c>
      <c r="G35" s="319" t="e">
        <f>B35/Stoff!$G35</f>
        <v>#VALUE!</v>
      </c>
      <c r="H35" s="319" t="e">
        <f>C35/Stoff!$G35</f>
        <v>#VALUE!</v>
      </c>
      <c r="I35" s="319" t="e">
        <f>D35/Stoff!$G35</f>
        <v>#VALUE!</v>
      </c>
      <c r="J35" s="319" t="e">
        <f>E35/Stoff!$G35</f>
        <v>#VALUE!</v>
      </c>
      <c r="K35" s="328" t="e">
        <f>IF(F35=Mellomregninger!AE35,Mellomregninger!V35,Mellomregninger!AH35)</f>
        <v>#VALUE!</v>
      </c>
      <c r="L35" s="319" t="e">
        <f>F35/Stoff!$G35</f>
        <v>#VALUE!</v>
      </c>
    </row>
    <row r="36" spans="1:12" x14ac:dyDescent="0.35">
      <c r="A36" s="239" t="s">
        <v>174</v>
      </c>
      <c r="B36" s="318" t="e">
        <f>Mellomregninger!L36</f>
        <v>#VALUE!</v>
      </c>
      <c r="C36" s="318" t="e">
        <f>Mellomregninger!BC36</f>
        <v>#VALUE!</v>
      </c>
      <c r="D36" s="318" t="e">
        <f>Mellomregninger!BO36</f>
        <v>#VALUE!</v>
      </c>
      <c r="E36" s="318" t="e">
        <f>Mellomregninger!CA36</f>
        <v>#VALUE!</v>
      </c>
      <c r="F36" s="327" t="e">
        <f>IF(ISNUMBER(Mellomregninger!AQ36),IF(Mellomregninger!AQ36&gt;Mellomregninger!AE36,Mellomregninger!AQ36,Mellomregninger!AE36),Mellomregninger!AE36)</f>
        <v>#VALUE!</v>
      </c>
      <c r="G36" s="319" t="e">
        <f>B36/Stoff!$G36</f>
        <v>#VALUE!</v>
      </c>
      <c r="H36" s="319" t="e">
        <f>C36/Stoff!$G36</f>
        <v>#VALUE!</v>
      </c>
      <c r="I36" s="319" t="e">
        <f>D36/Stoff!$G36</f>
        <v>#VALUE!</v>
      </c>
      <c r="J36" s="319" t="e">
        <f>E36/Stoff!$G36</f>
        <v>#VALUE!</v>
      </c>
      <c r="K36" s="328" t="e">
        <f>IF(F36=Mellomregninger!AE36,Mellomregninger!V36,Mellomregninger!AH36)</f>
        <v>#VALUE!</v>
      </c>
      <c r="L36" s="319" t="e">
        <f>F36/Stoff!$G36</f>
        <v>#VALUE!</v>
      </c>
    </row>
    <row r="37" spans="1:12" x14ac:dyDescent="0.35">
      <c r="A37" s="239" t="s">
        <v>173</v>
      </c>
      <c r="B37" s="318" t="e">
        <f>Mellomregninger!L37</f>
        <v>#VALUE!</v>
      </c>
      <c r="C37" s="318" t="e">
        <f>Mellomregninger!BC37</f>
        <v>#VALUE!</v>
      </c>
      <c r="D37" s="318" t="e">
        <f>Mellomregninger!BO37</f>
        <v>#VALUE!</v>
      </c>
      <c r="E37" s="318" t="e">
        <f>Mellomregninger!CA37</f>
        <v>#VALUE!</v>
      </c>
      <c r="F37" s="327" t="e">
        <f>IF(ISNUMBER(Mellomregninger!AQ37),IF(Mellomregninger!AQ37&gt;Mellomregninger!AE37,Mellomregninger!AQ37,Mellomregninger!AE37),Mellomregninger!AE37)</f>
        <v>#VALUE!</v>
      </c>
      <c r="G37" s="319" t="e">
        <f>B37/Stoff!$G37</f>
        <v>#VALUE!</v>
      </c>
      <c r="H37" s="319" t="e">
        <f>C37/Stoff!$G37</f>
        <v>#VALUE!</v>
      </c>
      <c r="I37" s="319" t="e">
        <f>D37/Stoff!$G37</f>
        <v>#VALUE!</v>
      </c>
      <c r="J37" s="319" t="e">
        <f>E37/Stoff!$G37</f>
        <v>#VALUE!</v>
      </c>
      <c r="K37" s="328" t="e">
        <f>IF(F37=Mellomregninger!AE37,Mellomregninger!V37,Mellomregninger!AH37)</f>
        <v>#VALUE!</v>
      </c>
      <c r="L37" s="319" t="e">
        <f>F37/Stoff!$G37</f>
        <v>#VALUE!</v>
      </c>
    </row>
    <row r="38" spans="1:12" x14ac:dyDescent="0.35">
      <c r="A38" s="239" t="s">
        <v>172</v>
      </c>
      <c r="B38" s="318" t="e">
        <f>Mellomregninger!L38</f>
        <v>#VALUE!</v>
      </c>
      <c r="C38" s="318" t="e">
        <f>Mellomregninger!BC38</f>
        <v>#VALUE!</v>
      </c>
      <c r="D38" s="318" t="e">
        <f>Mellomregninger!BO38</f>
        <v>#VALUE!</v>
      </c>
      <c r="E38" s="318" t="e">
        <f>Mellomregninger!CA38</f>
        <v>#VALUE!</v>
      </c>
      <c r="F38" s="327" t="e">
        <f>IF(ISNUMBER(Mellomregninger!AQ38),IF(Mellomregninger!AQ38&gt;Mellomregninger!AE38,Mellomregninger!AQ38,Mellomregninger!AE38),Mellomregninger!AE38)</f>
        <v>#VALUE!</v>
      </c>
      <c r="G38" s="319" t="e">
        <f>B38/Stoff!$G38</f>
        <v>#VALUE!</v>
      </c>
      <c r="H38" s="319" t="e">
        <f>C38/Stoff!$G38</f>
        <v>#VALUE!</v>
      </c>
      <c r="I38" s="319" t="e">
        <f>D38/Stoff!$G38</f>
        <v>#VALUE!</v>
      </c>
      <c r="J38" s="319" t="e">
        <f>E38/Stoff!$G38</f>
        <v>#VALUE!</v>
      </c>
      <c r="K38" s="328" t="e">
        <f>IF(F38=Mellomregninger!AE38,Mellomregninger!V38,Mellomregninger!AH38)</f>
        <v>#VALUE!</v>
      </c>
      <c r="L38" s="319" t="e">
        <f>F38/Stoff!$G38</f>
        <v>#VALUE!</v>
      </c>
    </row>
    <row r="39" spans="1:12" x14ac:dyDescent="0.35">
      <c r="A39" s="239" t="s">
        <v>171</v>
      </c>
      <c r="B39" s="318" t="e">
        <f>Mellomregninger!L39</f>
        <v>#VALUE!</v>
      </c>
      <c r="C39" s="318" t="e">
        <f>Mellomregninger!BC39</f>
        <v>#VALUE!</v>
      </c>
      <c r="D39" s="318" t="e">
        <f>Mellomregninger!BO39</f>
        <v>#VALUE!</v>
      </c>
      <c r="E39" s="318" t="e">
        <f>Mellomregninger!CA39</f>
        <v>#VALUE!</v>
      </c>
      <c r="F39" s="327" t="e">
        <f>IF(ISNUMBER(Mellomregninger!AQ39),IF(Mellomregninger!AQ39&gt;Mellomregninger!AE39,Mellomregninger!AQ39,Mellomregninger!AE39),Mellomregninger!AE39)</f>
        <v>#VALUE!</v>
      </c>
      <c r="G39" s="319" t="e">
        <f>B39/Stoff!$G39</f>
        <v>#VALUE!</v>
      </c>
      <c r="H39" s="319" t="e">
        <f>C39/Stoff!$G39</f>
        <v>#VALUE!</v>
      </c>
      <c r="I39" s="319" t="e">
        <f>D39/Stoff!$G39</f>
        <v>#VALUE!</v>
      </c>
      <c r="J39" s="319" t="e">
        <f>E39/Stoff!$G39</f>
        <v>#VALUE!</v>
      </c>
      <c r="K39" s="328" t="e">
        <f>IF(F39=Mellomregninger!AE39,Mellomregninger!V39,Mellomregninger!AH39)</f>
        <v>#VALUE!</v>
      </c>
      <c r="L39" s="319" t="e">
        <f>F39/Stoff!$G39</f>
        <v>#VALUE!</v>
      </c>
    </row>
    <row r="40" spans="1:12" x14ac:dyDescent="0.35">
      <c r="A40" s="239" t="s">
        <v>170</v>
      </c>
      <c r="B40" s="318" t="e">
        <f>Mellomregninger!L40</f>
        <v>#VALUE!</v>
      </c>
      <c r="C40" s="318" t="e">
        <f>Mellomregninger!BC40</f>
        <v>#VALUE!</v>
      </c>
      <c r="D40" s="318" t="e">
        <f>Mellomregninger!BO40</f>
        <v>#VALUE!</v>
      </c>
      <c r="E40" s="318" t="e">
        <f>Mellomregninger!CA40</f>
        <v>#VALUE!</v>
      </c>
      <c r="F40" s="327" t="e">
        <f>IF(ISNUMBER(Mellomregninger!AQ40),IF(Mellomregninger!AQ40&gt;Mellomregninger!AE40,Mellomregninger!AQ40,Mellomregninger!AE40),Mellomregninger!AE40)</f>
        <v>#VALUE!</v>
      </c>
      <c r="G40" s="319" t="e">
        <f>B40/Stoff!$G40</f>
        <v>#VALUE!</v>
      </c>
      <c r="H40" s="319" t="e">
        <f>C40/Stoff!$G40</f>
        <v>#VALUE!</v>
      </c>
      <c r="I40" s="319" t="e">
        <f>D40/Stoff!$G40</f>
        <v>#VALUE!</v>
      </c>
      <c r="J40" s="319" t="e">
        <f>E40/Stoff!$G40</f>
        <v>#VALUE!</v>
      </c>
      <c r="K40" s="328" t="e">
        <f>IF(F40=Mellomregninger!AE40,Mellomregninger!V40,Mellomregninger!AH40)</f>
        <v>#VALUE!</v>
      </c>
      <c r="L40" s="319" t="e">
        <f>F40/Stoff!$G40</f>
        <v>#VALUE!</v>
      </c>
    </row>
    <row r="41" spans="1:12" x14ac:dyDescent="0.35">
      <c r="A41" s="239" t="s">
        <v>169</v>
      </c>
      <c r="B41" s="318" t="e">
        <f>Mellomregninger!L41</f>
        <v>#VALUE!</v>
      </c>
      <c r="C41" s="318" t="e">
        <f>Mellomregninger!BC41</f>
        <v>#VALUE!</v>
      </c>
      <c r="D41" s="318" t="e">
        <f>Mellomregninger!BO41</f>
        <v>#VALUE!</v>
      </c>
      <c r="E41" s="318" t="e">
        <f>Mellomregninger!CA41</f>
        <v>#VALUE!</v>
      </c>
      <c r="F41" s="327" t="e">
        <f>IF(ISNUMBER(Mellomregninger!AQ41),IF(Mellomregninger!AQ41&gt;Mellomregninger!AE41,Mellomregninger!AQ41,Mellomregninger!AE41),Mellomregninger!AE41)</f>
        <v>#VALUE!</v>
      </c>
      <c r="G41" s="319" t="e">
        <f>B41/Stoff!$G41</f>
        <v>#VALUE!</v>
      </c>
      <c r="H41" s="319" t="e">
        <f>C41/Stoff!$G41</f>
        <v>#VALUE!</v>
      </c>
      <c r="I41" s="319" t="e">
        <f>D41/Stoff!$G41</f>
        <v>#VALUE!</v>
      </c>
      <c r="J41" s="319" t="e">
        <f>E41/Stoff!$G41</f>
        <v>#VALUE!</v>
      </c>
      <c r="K41" s="328" t="e">
        <f>IF(F41=Mellomregninger!AE41,Mellomregninger!V41,Mellomregninger!AH41)</f>
        <v>#VALUE!</v>
      </c>
      <c r="L41" s="319" t="e">
        <f>F41/Stoff!$G41</f>
        <v>#VALUE!</v>
      </c>
    </row>
    <row r="42" spans="1:12" x14ac:dyDescent="0.35">
      <c r="A42" s="239" t="s">
        <v>168</v>
      </c>
      <c r="B42" s="318" t="e">
        <f>Mellomregninger!L42</f>
        <v>#VALUE!</v>
      </c>
      <c r="C42" s="318" t="e">
        <f>Mellomregninger!BC42</f>
        <v>#VALUE!</v>
      </c>
      <c r="D42" s="318" t="e">
        <f>Mellomregninger!BO42</f>
        <v>#VALUE!</v>
      </c>
      <c r="E42" s="318" t="e">
        <f>Mellomregninger!CA42</f>
        <v>#VALUE!</v>
      </c>
      <c r="F42" s="327" t="e">
        <f>IF(ISNUMBER(Mellomregninger!AQ42),IF(Mellomregninger!AQ42&gt;Mellomregninger!AE42,Mellomregninger!AQ42,Mellomregninger!AE42),Mellomregninger!AE42)</f>
        <v>#VALUE!</v>
      </c>
      <c r="G42" s="319" t="e">
        <f>B42/Stoff!$G42</f>
        <v>#VALUE!</v>
      </c>
      <c r="H42" s="319" t="e">
        <f>C42/Stoff!$G42</f>
        <v>#VALUE!</v>
      </c>
      <c r="I42" s="319" t="e">
        <f>D42/Stoff!$G42</f>
        <v>#VALUE!</v>
      </c>
      <c r="J42" s="319" t="e">
        <f>E42/Stoff!$G42</f>
        <v>#VALUE!</v>
      </c>
      <c r="K42" s="328" t="e">
        <f>IF(F42=Mellomregninger!AE42,Mellomregninger!V42,Mellomregninger!AH42)</f>
        <v>#VALUE!</v>
      </c>
      <c r="L42" s="319" t="e">
        <f>F42/Stoff!$G42</f>
        <v>#VALUE!</v>
      </c>
    </row>
    <row r="43" spans="1:12" x14ac:dyDescent="0.35">
      <c r="A43" s="239" t="s">
        <v>167</v>
      </c>
      <c r="B43" s="318" t="e">
        <f>Mellomregninger!L43</f>
        <v>#VALUE!</v>
      </c>
      <c r="C43" s="318" t="e">
        <f>Mellomregninger!BC43</f>
        <v>#VALUE!</v>
      </c>
      <c r="D43" s="318" t="e">
        <f>Mellomregninger!BO43</f>
        <v>#VALUE!</v>
      </c>
      <c r="E43" s="318" t="e">
        <f>Mellomregninger!CA43</f>
        <v>#VALUE!</v>
      </c>
      <c r="F43" s="327" t="e">
        <f>IF(ISNUMBER(Mellomregninger!AQ43),IF(Mellomregninger!AQ43&gt;Mellomregninger!AE43,Mellomregninger!AQ43,Mellomregninger!AE43),Mellomregninger!AE43)</f>
        <v>#VALUE!</v>
      </c>
      <c r="G43" s="319" t="e">
        <f>B43/Stoff!$G43</f>
        <v>#VALUE!</v>
      </c>
      <c r="H43" s="319" t="e">
        <f>C43/Stoff!$G43</f>
        <v>#VALUE!</v>
      </c>
      <c r="I43" s="319" t="e">
        <f>D43/Stoff!$G43</f>
        <v>#VALUE!</v>
      </c>
      <c r="J43" s="319" t="e">
        <f>E43/Stoff!$G43</f>
        <v>#VALUE!</v>
      </c>
      <c r="K43" s="328" t="e">
        <f>IF(F43=Mellomregninger!AE43,Mellomregninger!V43,Mellomregninger!AH43)</f>
        <v>#VALUE!</v>
      </c>
      <c r="L43" s="319" t="e">
        <f>F43/Stoff!$G43</f>
        <v>#VALUE!</v>
      </c>
    </row>
    <row r="44" spans="1:12" x14ac:dyDescent="0.35">
      <c r="A44" s="239" t="s">
        <v>166</v>
      </c>
      <c r="B44" s="318" t="e">
        <f>Mellomregninger!L44</f>
        <v>#VALUE!</v>
      </c>
      <c r="C44" s="318" t="e">
        <f>Mellomregninger!BC44</f>
        <v>#VALUE!</v>
      </c>
      <c r="D44" s="318" t="e">
        <f>Mellomregninger!BO44</f>
        <v>#VALUE!</v>
      </c>
      <c r="E44" s="318" t="e">
        <f>Mellomregninger!CA44</f>
        <v>#VALUE!</v>
      </c>
      <c r="F44" s="327" t="e">
        <f>IF(ISNUMBER(Mellomregninger!AQ44),IF(Mellomregninger!AQ44&gt;Mellomregninger!AE44,Mellomregninger!AQ44,Mellomregninger!AE44),Mellomregninger!AE44)</f>
        <v>#VALUE!</v>
      </c>
      <c r="G44" s="319" t="e">
        <f>B44/Stoff!$G44</f>
        <v>#VALUE!</v>
      </c>
      <c r="H44" s="319" t="e">
        <f>C44/Stoff!$G44</f>
        <v>#VALUE!</v>
      </c>
      <c r="I44" s="319" t="e">
        <f>D44/Stoff!$G44</f>
        <v>#VALUE!</v>
      </c>
      <c r="J44" s="319" t="e">
        <f>E44/Stoff!$G44</f>
        <v>#VALUE!</v>
      </c>
      <c r="K44" s="328" t="e">
        <f>IF(F44=Mellomregninger!AE44,Mellomregninger!V44,Mellomregninger!AH44)</f>
        <v>#VALUE!</v>
      </c>
      <c r="L44" s="319" t="e">
        <f>F44/Stoff!$G44</f>
        <v>#VALUE!</v>
      </c>
    </row>
    <row r="45" spans="1:12" x14ac:dyDescent="0.35">
      <c r="A45" s="239" t="s">
        <v>165</v>
      </c>
      <c r="B45" s="318" t="e">
        <f>Mellomregninger!L45</f>
        <v>#VALUE!</v>
      </c>
      <c r="C45" s="318" t="e">
        <f>Mellomregninger!BC45</f>
        <v>#VALUE!</v>
      </c>
      <c r="D45" s="318" t="e">
        <f>Mellomregninger!BO45</f>
        <v>#VALUE!</v>
      </c>
      <c r="E45" s="318" t="e">
        <f>Mellomregninger!CA45</f>
        <v>#VALUE!</v>
      </c>
      <c r="F45" s="327" t="e">
        <f>IF(ISNUMBER(Mellomregninger!AQ45),IF(Mellomregninger!AQ45&gt;Mellomregninger!AE45,Mellomregninger!AQ45,Mellomregninger!AE45),Mellomregninger!AE45)</f>
        <v>#VALUE!</v>
      </c>
      <c r="G45" s="319" t="e">
        <f>B45/Stoff!$G45</f>
        <v>#VALUE!</v>
      </c>
      <c r="H45" s="319" t="e">
        <f>C45/Stoff!$G45</f>
        <v>#VALUE!</v>
      </c>
      <c r="I45" s="319" t="e">
        <f>D45/Stoff!$G45</f>
        <v>#VALUE!</v>
      </c>
      <c r="J45" s="319" t="e">
        <f>E45/Stoff!$G45</f>
        <v>#VALUE!</v>
      </c>
      <c r="K45" s="328" t="e">
        <f>IF(F45=Mellomregninger!AE45,Mellomregninger!V45,Mellomregninger!AH45)</f>
        <v>#VALUE!</v>
      </c>
      <c r="L45" s="319" t="e">
        <f>F45/Stoff!$G45</f>
        <v>#VALUE!</v>
      </c>
    </row>
    <row r="46" spans="1:12" x14ac:dyDescent="0.35">
      <c r="A46" s="239" t="s">
        <v>164</v>
      </c>
      <c r="B46" s="318" t="e">
        <f>Mellomregninger!L46</f>
        <v>#VALUE!</v>
      </c>
      <c r="C46" s="318" t="e">
        <f>Mellomregninger!BC46</f>
        <v>#VALUE!</v>
      </c>
      <c r="D46" s="318" t="e">
        <f>Mellomregninger!BO46</f>
        <v>#VALUE!</v>
      </c>
      <c r="E46" s="318" t="e">
        <f>Mellomregninger!CA46</f>
        <v>#VALUE!</v>
      </c>
      <c r="F46" s="327" t="e">
        <f>IF(ISNUMBER(Mellomregninger!AQ46),IF(Mellomregninger!AQ46&gt;Mellomregninger!AE46,Mellomregninger!AQ46,Mellomregninger!AE46),Mellomregninger!AE46)</f>
        <v>#VALUE!</v>
      </c>
      <c r="G46" s="319" t="e">
        <f>B46/Stoff!$G46</f>
        <v>#VALUE!</v>
      </c>
      <c r="H46" s="319" t="e">
        <f>C46/Stoff!$G46</f>
        <v>#VALUE!</v>
      </c>
      <c r="I46" s="319" t="e">
        <f>D46/Stoff!$G46</f>
        <v>#VALUE!</v>
      </c>
      <c r="J46" s="319" t="e">
        <f>E46/Stoff!$G46</f>
        <v>#VALUE!</v>
      </c>
      <c r="K46" s="328" t="e">
        <f>IF(F46=Mellomregninger!AE46,Mellomregninger!V46,Mellomregninger!AH46)</f>
        <v>#VALUE!</v>
      </c>
      <c r="L46" s="319" t="e">
        <f>F46/Stoff!$G46</f>
        <v>#VALUE!</v>
      </c>
    </row>
    <row r="47" spans="1:12" x14ac:dyDescent="0.35">
      <c r="A47" s="239" t="s">
        <v>163</v>
      </c>
      <c r="B47" s="318" t="e">
        <f>Mellomregninger!L47</f>
        <v>#VALUE!</v>
      </c>
      <c r="C47" s="318" t="e">
        <f>Mellomregninger!BC47</f>
        <v>#VALUE!</v>
      </c>
      <c r="D47" s="318" t="e">
        <f>Mellomregninger!BO47</f>
        <v>#VALUE!</v>
      </c>
      <c r="E47" s="318" t="e">
        <f>Mellomregninger!CA47</f>
        <v>#VALUE!</v>
      </c>
      <c r="F47" s="327" t="e">
        <f>IF(ISNUMBER(Mellomregninger!AQ47),IF(Mellomregninger!AQ47&gt;Mellomregninger!AE47,Mellomregninger!AQ47,Mellomregninger!AE47),Mellomregninger!AE47)</f>
        <v>#VALUE!</v>
      </c>
      <c r="G47" s="319" t="e">
        <f>B47/Stoff!$G47</f>
        <v>#VALUE!</v>
      </c>
      <c r="H47" s="319" t="e">
        <f>C47/Stoff!$G47</f>
        <v>#VALUE!</v>
      </c>
      <c r="I47" s="319" t="e">
        <f>D47/Stoff!$G47</f>
        <v>#VALUE!</v>
      </c>
      <c r="J47" s="319" t="e">
        <f>E47/Stoff!$G47</f>
        <v>#VALUE!</v>
      </c>
      <c r="K47" s="328" t="e">
        <f>IF(F47=Mellomregninger!AE47,Mellomregninger!V47,Mellomregninger!AH47)</f>
        <v>#VALUE!</v>
      </c>
      <c r="L47" s="319" t="e">
        <f>F47/Stoff!$G47</f>
        <v>#VALUE!</v>
      </c>
    </row>
    <row r="48" spans="1:12" x14ac:dyDescent="0.35">
      <c r="A48" s="239" t="s">
        <v>162</v>
      </c>
      <c r="B48" s="318" t="e">
        <f>Mellomregninger!L48</f>
        <v>#VALUE!</v>
      </c>
      <c r="C48" s="318" t="e">
        <f>Mellomregninger!BC48</f>
        <v>#VALUE!</v>
      </c>
      <c r="D48" s="318" t="e">
        <f>Mellomregninger!BO48</f>
        <v>#VALUE!</v>
      </c>
      <c r="E48" s="318" t="e">
        <f>Mellomregninger!CA48</f>
        <v>#VALUE!</v>
      </c>
      <c r="F48" s="327" t="e">
        <f>IF(ISNUMBER(Mellomregninger!AQ48),IF(Mellomregninger!AQ48&gt;Mellomregninger!AE48,Mellomregninger!AQ48,Mellomregninger!AE48),Mellomregninger!AE48)</f>
        <v>#VALUE!</v>
      </c>
      <c r="G48" s="319" t="e">
        <f>B48/Stoff!$G48</f>
        <v>#VALUE!</v>
      </c>
      <c r="H48" s="319" t="e">
        <f>C48/Stoff!$G48</f>
        <v>#VALUE!</v>
      </c>
      <c r="I48" s="319" t="e">
        <f>D48/Stoff!$G48</f>
        <v>#VALUE!</v>
      </c>
      <c r="J48" s="319" t="e">
        <f>E48/Stoff!$G48</f>
        <v>#VALUE!</v>
      </c>
      <c r="K48" s="328" t="e">
        <f>IF(F48=Mellomregninger!AE48,Mellomregninger!V48,Mellomregninger!AH48)</f>
        <v>#VALUE!</v>
      </c>
      <c r="L48" s="319" t="e">
        <f>F48/Stoff!$G48</f>
        <v>#VALUE!</v>
      </c>
    </row>
    <row r="49" spans="1:12" x14ac:dyDescent="0.35">
      <c r="A49" s="239" t="s">
        <v>161</v>
      </c>
      <c r="B49" s="318" t="e">
        <f>Mellomregninger!L49</f>
        <v>#VALUE!</v>
      </c>
      <c r="C49" s="318" t="e">
        <f>Mellomregninger!BC49</f>
        <v>#VALUE!</v>
      </c>
      <c r="D49" s="318" t="e">
        <f>Mellomregninger!BO49</f>
        <v>#VALUE!</v>
      </c>
      <c r="E49" s="318" t="e">
        <f>Mellomregninger!CA49</f>
        <v>#VALUE!</v>
      </c>
      <c r="F49" s="327" t="e">
        <f>IF(ISNUMBER(Mellomregninger!AQ49),IF(Mellomregninger!AQ49&gt;Mellomregninger!AE49,Mellomregninger!AQ49,Mellomregninger!AE49),Mellomregninger!AE49)</f>
        <v>#VALUE!</v>
      </c>
      <c r="G49" s="319" t="e">
        <f>B49/Stoff!$G49</f>
        <v>#VALUE!</v>
      </c>
      <c r="H49" s="319" t="e">
        <f>C49/Stoff!$G49</f>
        <v>#VALUE!</v>
      </c>
      <c r="I49" s="319" t="e">
        <f>D49/Stoff!$G49</f>
        <v>#VALUE!</v>
      </c>
      <c r="J49" s="319" t="e">
        <f>E49/Stoff!$G49</f>
        <v>#VALUE!</v>
      </c>
      <c r="K49" s="328" t="e">
        <f>IF(F49=Mellomregninger!AE49,Mellomregninger!V49,Mellomregninger!AH49)</f>
        <v>#VALUE!</v>
      </c>
      <c r="L49" s="319" t="e">
        <f>F49/Stoff!$G49</f>
        <v>#VALUE!</v>
      </c>
    </row>
    <row r="50" spans="1:12" x14ac:dyDescent="0.35">
      <c r="A50" s="239" t="s">
        <v>160</v>
      </c>
      <c r="B50" s="318" t="e">
        <f>Mellomregninger!L50</f>
        <v>#VALUE!</v>
      </c>
      <c r="C50" s="318" t="e">
        <f>Mellomregninger!BC50</f>
        <v>#VALUE!</v>
      </c>
      <c r="D50" s="318" t="e">
        <f>Mellomregninger!BO50</f>
        <v>#VALUE!</v>
      </c>
      <c r="E50" s="318" t="e">
        <f>Mellomregninger!CA50</f>
        <v>#VALUE!</v>
      </c>
      <c r="F50" s="327" t="e">
        <f>IF(ISNUMBER(Mellomregninger!AQ50),IF(Mellomregninger!AQ50&gt;Mellomregninger!AE50,Mellomregninger!AQ50,Mellomregninger!AE50),Mellomregninger!AE50)</f>
        <v>#VALUE!</v>
      </c>
      <c r="G50" s="319" t="e">
        <f>B50/Stoff!$G50</f>
        <v>#VALUE!</v>
      </c>
      <c r="H50" s="319" t="e">
        <f>C50/Stoff!$G50</f>
        <v>#VALUE!</v>
      </c>
      <c r="I50" s="319" t="e">
        <f>D50/Stoff!$G50</f>
        <v>#VALUE!</v>
      </c>
      <c r="J50" s="319" t="e">
        <f>E50/Stoff!$G50</f>
        <v>#VALUE!</v>
      </c>
      <c r="K50" s="328" t="e">
        <f>IF(F50=Mellomregninger!AE50,Mellomregninger!V50,Mellomregninger!AH50)</f>
        <v>#VALUE!</v>
      </c>
      <c r="L50" s="319" t="e">
        <f>F50/Stoff!$G50</f>
        <v>#VALUE!</v>
      </c>
    </row>
    <row r="51" spans="1:12" x14ac:dyDescent="0.35">
      <c r="A51" s="239" t="s">
        <v>159</v>
      </c>
      <c r="B51" s="318" t="e">
        <f>Mellomregninger!L51</f>
        <v>#VALUE!</v>
      </c>
      <c r="C51" s="318" t="e">
        <f>Mellomregninger!BC51</f>
        <v>#VALUE!</v>
      </c>
      <c r="D51" s="318" t="e">
        <f>Mellomregninger!BO51</f>
        <v>#VALUE!</v>
      </c>
      <c r="E51" s="318" t="e">
        <f>Mellomregninger!CA51</f>
        <v>#VALUE!</v>
      </c>
      <c r="F51" s="327" t="e">
        <f>IF(ISNUMBER(Mellomregninger!AQ51),IF(Mellomregninger!AQ51&gt;Mellomregninger!AE51,Mellomregninger!AQ51,Mellomregninger!AE51),Mellomregninger!AE51)</f>
        <v>#VALUE!</v>
      </c>
      <c r="G51" s="319" t="e">
        <f>B51/Stoff!$G51</f>
        <v>#VALUE!</v>
      </c>
      <c r="H51" s="319" t="e">
        <f>C51/Stoff!$G51</f>
        <v>#VALUE!</v>
      </c>
      <c r="I51" s="319" t="e">
        <f>D51/Stoff!$G51</f>
        <v>#VALUE!</v>
      </c>
      <c r="J51" s="319" t="e">
        <f>E51/Stoff!$G51</f>
        <v>#VALUE!</v>
      </c>
      <c r="K51" s="328" t="e">
        <f>IF(F51=Mellomregninger!AE51,Mellomregninger!V51,Mellomregninger!AH51)</f>
        <v>#VALUE!</v>
      </c>
      <c r="L51" s="319" t="e">
        <f>F51/Stoff!$G51</f>
        <v>#VALUE!</v>
      </c>
    </row>
    <row r="52" spans="1:12" x14ac:dyDescent="0.35">
      <c r="A52" s="239" t="s">
        <v>158</v>
      </c>
      <c r="B52" s="318" t="e">
        <f>Mellomregninger!L52</f>
        <v>#VALUE!</v>
      </c>
      <c r="C52" s="318" t="e">
        <f>Mellomregninger!BC52</f>
        <v>#VALUE!</v>
      </c>
      <c r="D52" s="318" t="e">
        <f>Mellomregninger!BO52</f>
        <v>#VALUE!</v>
      </c>
      <c r="E52" s="318" t="e">
        <f>Mellomregninger!CA52</f>
        <v>#VALUE!</v>
      </c>
      <c r="F52" s="327" t="e">
        <f>IF(ISNUMBER(Mellomregninger!AQ52),IF(Mellomregninger!AQ52&gt;Mellomregninger!AE52,Mellomregninger!AQ52,Mellomregninger!AE52),Mellomregninger!AE52)</f>
        <v>#VALUE!</v>
      </c>
      <c r="G52" s="319" t="e">
        <f>B52/Stoff!$G52</f>
        <v>#VALUE!</v>
      </c>
      <c r="H52" s="319" t="e">
        <f>C52/Stoff!$G52</f>
        <v>#VALUE!</v>
      </c>
      <c r="I52" s="319" t="e">
        <f>D52/Stoff!$G52</f>
        <v>#VALUE!</v>
      </c>
      <c r="J52" s="319" t="e">
        <f>E52/Stoff!$G52</f>
        <v>#VALUE!</v>
      </c>
      <c r="K52" s="328" t="e">
        <f>IF(F52=Mellomregninger!AE52,Mellomregninger!V52,Mellomregninger!AH52)</f>
        <v>#VALUE!</v>
      </c>
      <c r="L52" s="319" t="e">
        <f>F52/Stoff!$G52</f>
        <v>#VALUE!</v>
      </c>
    </row>
    <row r="53" spans="1:12" x14ac:dyDescent="0.35">
      <c r="A53" s="239" t="s">
        <v>157</v>
      </c>
      <c r="B53" s="318" t="e">
        <f>Mellomregninger!L53</f>
        <v>#VALUE!</v>
      </c>
      <c r="C53" s="318" t="e">
        <f>Mellomregninger!BC53</f>
        <v>#VALUE!</v>
      </c>
      <c r="D53" s="318" t="e">
        <f>Mellomregninger!BO53</f>
        <v>#VALUE!</v>
      </c>
      <c r="E53" s="318" t="e">
        <f>Mellomregninger!CA53</f>
        <v>#VALUE!</v>
      </c>
      <c r="F53" s="327" t="e">
        <f>IF(ISNUMBER(Mellomregninger!AQ53),IF(Mellomregninger!AQ53&gt;Mellomregninger!AE53,Mellomregninger!AQ53,Mellomregninger!AE53),Mellomregninger!AE53)</f>
        <v>#VALUE!</v>
      </c>
      <c r="G53" s="319" t="e">
        <f>B53/Stoff!$G53</f>
        <v>#VALUE!</v>
      </c>
      <c r="H53" s="319" t="e">
        <f>C53/Stoff!$G53</f>
        <v>#VALUE!</v>
      </c>
      <c r="I53" s="319" t="e">
        <f>D53/Stoff!$G53</f>
        <v>#VALUE!</v>
      </c>
      <c r="J53" s="319" t="e">
        <f>E53/Stoff!$G53</f>
        <v>#VALUE!</v>
      </c>
      <c r="K53" s="328" t="e">
        <f>IF(F53=Mellomregninger!AE53,Mellomregninger!V53,Mellomregninger!AH53)</f>
        <v>#VALUE!</v>
      </c>
      <c r="L53" s="319" t="e">
        <f>F53/Stoff!$G53</f>
        <v>#VALUE!</v>
      </c>
    </row>
    <row r="54" spans="1:12" x14ac:dyDescent="0.35">
      <c r="A54" s="239" t="s">
        <v>156</v>
      </c>
      <c r="B54" s="318" t="e">
        <f>Mellomregninger!L54</f>
        <v>#VALUE!</v>
      </c>
      <c r="C54" s="318" t="e">
        <f>Mellomregninger!BC54</f>
        <v>#VALUE!</v>
      </c>
      <c r="D54" s="318" t="e">
        <f>Mellomregninger!BO54</f>
        <v>#VALUE!</v>
      </c>
      <c r="E54" s="318" t="e">
        <f>Mellomregninger!CA54</f>
        <v>#VALUE!</v>
      </c>
      <c r="F54" s="327" t="e">
        <f>IF(ISNUMBER(Mellomregninger!AQ54),IF(Mellomregninger!AQ54&gt;Mellomregninger!AE54,Mellomregninger!AQ54,Mellomregninger!AE54),Mellomregninger!AE54)</f>
        <v>#VALUE!</v>
      </c>
      <c r="G54" s="319" t="e">
        <f>B54/Stoff!$G54</f>
        <v>#VALUE!</v>
      </c>
      <c r="H54" s="319" t="e">
        <f>C54/Stoff!$G54</f>
        <v>#VALUE!</v>
      </c>
      <c r="I54" s="319" t="e">
        <f>D54/Stoff!$G54</f>
        <v>#VALUE!</v>
      </c>
      <c r="J54" s="319" t="e">
        <f>E54/Stoff!$G54</f>
        <v>#VALUE!</v>
      </c>
      <c r="K54" s="328" t="e">
        <f>IF(F54=Mellomregninger!AE54,Mellomregninger!V54,Mellomregninger!AH54)</f>
        <v>#VALUE!</v>
      </c>
      <c r="L54" s="319" t="e">
        <f>F54/Stoff!$G54</f>
        <v>#VALUE!</v>
      </c>
    </row>
    <row r="55" spans="1:12" x14ac:dyDescent="0.35">
      <c r="A55" s="239" t="s">
        <v>155</v>
      </c>
      <c r="B55" s="318" t="e">
        <f>Mellomregninger!L55</f>
        <v>#VALUE!</v>
      </c>
      <c r="C55" s="318" t="e">
        <f>Mellomregninger!BC55</f>
        <v>#VALUE!</v>
      </c>
      <c r="D55" s="318" t="e">
        <f>Mellomregninger!BO55</f>
        <v>#VALUE!</v>
      </c>
      <c r="E55" s="318" t="e">
        <f>Mellomregninger!CA55</f>
        <v>#VALUE!</v>
      </c>
      <c r="F55" s="327" t="e">
        <f>IF(ISNUMBER(Mellomregninger!AQ55),IF(Mellomregninger!AQ55&gt;Mellomregninger!AE55,Mellomregninger!AQ55,Mellomregninger!AE55),Mellomregninger!AE55)</f>
        <v>#VALUE!</v>
      </c>
      <c r="G55" s="319" t="e">
        <f>B55/Stoff!$G55</f>
        <v>#VALUE!</v>
      </c>
      <c r="H55" s="319" t="e">
        <f>C55/Stoff!$G55</f>
        <v>#VALUE!</v>
      </c>
      <c r="I55" s="319" t="e">
        <f>D55/Stoff!$G55</f>
        <v>#VALUE!</v>
      </c>
      <c r="J55" s="319" t="e">
        <f>E55/Stoff!$G55</f>
        <v>#VALUE!</v>
      </c>
      <c r="K55" s="328" t="e">
        <f>IF(F55=Mellomregninger!AE55,Mellomregninger!V55,Mellomregninger!AH55)</f>
        <v>#VALUE!</v>
      </c>
      <c r="L55" s="319" t="e">
        <f>F55/Stoff!$G55</f>
        <v>#VALUE!</v>
      </c>
    </row>
    <row r="56" spans="1:12" x14ac:dyDescent="0.35">
      <c r="A56" s="239" t="s">
        <v>154</v>
      </c>
      <c r="B56" s="318" t="e">
        <f>Mellomregninger!L56</f>
        <v>#VALUE!</v>
      </c>
      <c r="C56" s="318" t="e">
        <f>Mellomregninger!BC56</f>
        <v>#VALUE!</v>
      </c>
      <c r="D56" s="318" t="e">
        <f>Mellomregninger!BO56</f>
        <v>#VALUE!</v>
      </c>
      <c r="E56" s="318" t="e">
        <f>Mellomregninger!CA56</f>
        <v>#VALUE!</v>
      </c>
      <c r="F56" s="327" t="e">
        <f>IF(ISNUMBER(Mellomregninger!AQ56),IF(Mellomregninger!AQ56&gt;Mellomregninger!AE56,Mellomregninger!AQ56,Mellomregninger!AE56),Mellomregninger!AE56)</f>
        <v>#VALUE!</v>
      </c>
      <c r="G56" s="319" t="e">
        <f>B56/Stoff!$G56</f>
        <v>#VALUE!</v>
      </c>
      <c r="H56" s="319" t="e">
        <f>C56/Stoff!$G56</f>
        <v>#VALUE!</v>
      </c>
      <c r="I56" s="319" t="e">
        <f>D56/Stoff!$G56</f>
        <v>#VALUE!</v>
      </c>
      <c r="J56" s="319" t="e">
        <f>E56/Stoff!$G56</f>
        <v>#VALUE!</v>
      </c>
      <c r="K56" s="328" t="e">
        <f>IF(F56=Mellomregninger!AE56,Mellomregninger!V56,Mellomregninger!AH56)</f>
        <v>#VALUE!</v>
      </c>
      <c r="L56" s="319" t="e">
        <f>F56/Stoff!$G56</f>
        <v>#VALUE!</v>
      </c>
    </row>
    <row r="57" spans="1:12" x14ac:dyDescent="0.35">
      <c r="A57" s="239" t="s">
        <v>153</v>
      </c>
      <c r="B57" s="318" t="e">
        <f>Mellomregninger!L57</f>
        <v>#VALUE!</v>
      </c>
      <c r="C57" s="318" t="e">
        <f>Mellomregninger!BC57</f>
        <v>#VALUE!</v>
      </c>
      <c r="D57" s="318" t="e">
        <f>Mellomregninger!BO57</f>
        <v>#VALUE!</v>
      </c>
      <c r="E57" s="318" t="e">
        <f>Mellomregninger!CA57</f>
        <v>#VALUE!</v>
      </c>
      <c r="F57" s="327" t="e">
        <f>IF(ISNUMBER(Mellomregninger!AQ57),IF(Mellomregninger!AQ57&gt;Mellomregninger!AE57,Mellomregninger!AQ57,Mellomregninger!AE57),Mellomregninger!AE57)</f>
        <v>#VALUE!</v>
      </c>
      <c r="G57" s="319" t="e">
        <f>B57/Stoff!$G57</f>
        <v>#VALUE!</v>
      </c>
      <c r="H57" s="319" t="e">
        <f>C57/Stoff!$G57</f>
        <v>#VALUE!</v>
      </c>
      <c r="I57" s="319" t="e">
        <f>D57/Stoff!$G57</f>
        <v>#VALUE!</v>
      </c>
      <c r="J57" s="319" t="e">
        <f>E57/Stoff!$G57</f>
        <v>#VALUE!</v>
      </c>
      <c r="K57" s="328" t="e">
        <f>IF(F57=Mellomregninger!AE57,Mellomregninger!V57,Mellomregninger!AH57)</f>
        <v>#VALUE!</v>
      </c>
      <c r="L57" s="319" t="e">
        <f>F57/Stoff!$G57</f>
        <v>#VALUE!</v>
      </c>
    </row>
    <row r="58" spans="1:12" x14ac:dyDescent="0.35">
      <c r="A58" s="239" t="s">
        <v>152</v>
      </c>
      <c r="B58" s="318" t="e">
        <f>Mellomregninger!L58</f>
        <v>#VALUE!</v>
      </c>
      <c r="C58" s="318" t="e">
        <f>Mellomregninger!BC58</f>
        <v>#VALUE!</v>
      </c>
      <c r="D58" s="318" t="e">
        <f>Mellomregninger!BO58</f>
        <v>#VALUE!</v>
      </c>
      <c r="E58" s="318" t="e">
        <f>Mellomregninger!CA58</f>
        <v>#VALUE!</v>
      </c>
      <c r="F58" s="327" t="e">
        <f>IF(ISNUMBER(Mellomregninger!AQ58),IF(Mellomregninger!AQ58&gt;Mellomregninger!AE58,Mellomregninger!AQ58,Mellomregninger!AE58),Mellomregninger!AE58)</f>
        <v>#VALUE!</v>
      </c>
      <c r="G58" s="319" t="e">
        <f>B58/Stoff!$G58</f>
        <v>#VALUE!</v>
      </c>
      <c r="H58" s="319" t="e">
        <f>C58/Stoff!$G58</f>
        <v>#VALUE!</v>
      </c>
      <c r="I58" s="319" t="e">
        <f>D58/Stoff!$G58</f>
        <v>#VALUE!</v>
      </c>
      <c r="J58" s="319" t="e">
        <f>E58/Stoff!$G58</f>
        <v>#VALUE!</v>
      </c>
      <c r="K58" s="328" t="e">
        <f>IF(F58=Mellomregninger!AE58,Mellomregninger!V58,Mellomregninger!AH58)</f>
        <v>#VALUE!</v>
      </c>
      <c r="L58" s="319" t="e">
        <f>F58/Stoff!$G58</f>
        <v>#VALUE!</v>
      </c>
    </row>
    <row r="59" spans="1:12" x14ac:dyDescent="0.35">
      <c r="A59" s="239" t="s">
        <v>151</v>
      </c>
      <c r="B59" s="318" t="e">
        <f>Mellomregninger!L59</f>
        <v>#VALUE!</v>
      </c>
      <c r="C59" s="318" t="e">
        <f>Mellomregninger!BC59</f>
        <v>#VALUE!</v>
      </c>
      <c r="D59" s="318" t="e">
        <f>Mellomregninger!BO59</f>
        <v>#VALUE!</v>
      </c>
      <c r="E59" s="318" t="e">
        <f>Mellomregninger!CA59</f>
        <v>#VALUE!</v>
      </c>
      <c r="F59" s="327" t="e">
        <f>IF(ISNUMBER(Mellomregninger!AQ59),IF(Mellomregninger!AQ59&gt;Mellomregninger!AE59,Mellomregninger!AQ59,Mellomregninger!AE59),Mellomregninger!AE59)</f>
        <v>#VALUE!</v>
      </c>
      <c r="G59" s="319" t="e">
        <f>B59/Stoff!$G59</f>
        <v>#VALUE!</v>
      </c>
      <c r="H59" s="319" t="e">
        <f>C59/Stoff!$G59</f>
        <v>#VALUE!</v>
      </c>
      <c r="I59" s="319" t="e">
        <f>D59/Stoff!$G59</f>
        <v>#VALUE!</v>
      </c>
      <c r="J59" s="319" t="e">
        <f>E59/Stoff!$G59</f>
        <v>#VALUE!</v>
      </c>
      <c r="K59" s="328" t="e">
        <f>IF(F59=Mellomregninger!AE59,Mellomregninger!V59,Mellomregninger!AH59)</f>
        <v>#VALUE!</v>
      </c>
      <c r="L59" s="319" t="e">
        <f>F59/Stoff!$G59</f>
        <v>#VALUE!</v>
      </c>
    </row>
    <row r="60" spans="1:12" x14ac:dyDescent="0.35">
      <c r="A60" s="239" t="s">
        <v>150</v>
      </c>
      <c r="B60" s="318" t="e">
        <f>Mellomregninger!L60</f>
        <v>#VALUE!</v>
      </c>
      <c r="C60" s="318" t="e">
        <f>Mellomregninger!BC60</f>
        <v>#VALUE!</v>
      </c>
      <c r="D60" s="318" t="e">
        <f>Mellomregninger!BO60</f>
        <v>#VALUE!</v>
      </c>
      <c r="E60" s="318" t="e">
        <f>Mellomregninger!CA60</f>
        <v>#VALUE!</v>
      </c>
      <c r="F60" s="327" t="e">
        <f>IF(ISNUMBER(Mellomregninger!AQ60),IF(Mellomregninger!AQ60&gt;Mellomregninger!AE60,Mellomregninger!AQ60,Mellomregninger!AE60),Mellomregninger!AE60)</f>
        <v>#VALUE!</v>
      </c>
      <c r="G60" s="319" t="e">
        <f>B60/Stoff!$G60</f>
        <v>#VALUE!</v>
      </c>
      <c r="H60" s="319" t="e">
        <f>C60/Stoff!$G60</f>
        <v>#VALUE!</v>
      </c>
      <c r="I60" s="319" t="e">
        <f>D60/Stoff!$G60</f>
        <v>#VALUE!</v>
      </c>
      <c r="J60" s="319" t="e">
        <f>E60/Stoff!$G60</f>
        <v>#VALUE!</v>
      </c>
      <c r="K60" s="328" t="e">
        <f>IF(F60=Mellomregninger!AE60,Mellomregninger!V60,Mellomregninger!AH60)</f>
        <v>#VALUE!</v>
      </c>
      <c r="L60" s="319" t="e">
        <f>F60/Stoff!$G60</f>
        <v>#VALUE!</v>
      </c>
    </row>
    <row r="61" spans="1:12" x14ac:dyDescent="0.35">
      <c r="A61" s="239" t="s">
        <v>149</v>
      </c>
      <c r="B61" s="318" t="e">
        <f>Mellomregninger!L61</f>
        <v>#VALUE!</v>
      </c>
      <c r="C61" s="318" t="e">
        <f>Mellomregninger!BC61</f>
        <v>#VALUE!</v>
      </c>
      <c r="D61" s="318" t="e">
        <f>Mellomregninger!BO61</f>
        <v>#VALUE!</v>
      </c>
      <c r="E61" s="318" t="e">
        <f>Mellomregninger!CA61</f>
        <v>#VALUE!</v>
      </c>
      <c r="F61" s="327" t="e">
        <f>IF(ISNUMBER(Mellomregninger!AQ61),IF(Mellomregninger!AQ61&gt;Mellomregninger!AE61,Mellomregninger!AQ61,Mellomregninger!AE61),Mellomregninger!AE61)</f>
        <v>#VALUE!</v>
      </c>
      <c r="G61" s="319" t="e">
        <f>B61/Stoff!$G61</f>
        <v>#VALUE!</v>
      </c>
      <c r="H61" s="319" t="e">
        <f>C61/Stoff!$G61</f>
        <v>#VALUE!</v>
      </c>
      <c r="I61" s="319" t="e">
        <f>D61/Stoff!$G61</f>
        <v>#VALUE!</v>
      </c>
      <c r="J61" s="319" t="e">
        <f>E61/Stoff!$G61</f>
        <v>#VALUE!</v>
      </c>
      <c r="K61" s="328" t="e">
        <f>IF(F61=Mellomregninger!AE61,Mellomregninger!V61,Mellomregninger!AH61)</f>
        <v>#VALUE!</v>
      </c>
      <c r="L61" s="319" t="e">
        <f>F61/Stoff!$G61</f>
        <v>#VALUE!</v>
      </c>
    </row>
    <row r="62" spans="1:12" x14ac:dyDescent="0.35">
      <c r="A62" s="239" t="s">
        <v>148</v>
      </c>
      <c r="B62" s="318" t="e">
        <f>Mellomregninger!L62</f>
        <v>#VALUE!</v>
      </c>
      <c r="C62" s="318" t="e">
        <f>Mellomregninger!BC62</f>
        <v>#VALUE!</v>
      </c>
      <c r="D62" s="318" t="e">
        <f>Mellomregninger!BO62</f>
        <v>#VALUE!</v>
      </c>
      <c r="E62" s="318" t="e">
        <f>Mellomregninger!CA62</f>
        <v>#VALUE!</v>
      </c>
      <c r="F62" s="327" t="e">
        <f>IF(ISNUMBER(Mellomregninger!AQ62),IF(Mellomregninger!AQ62&gt;Mellomregninger!AE62,Mellomregninger!AQ62,Mellomregninger!AE62),Mellomregninger!AE62)</f>
        <v>#VALUE!</v>
      </c>
      <c r="G62" s="319" t="e">
        <f>B62/Stoff!$G62</f>
        <v>#VALUE!</v>
      </c>
      <c r="H62" s="319" t="e">
        <f>C62/Stoff!$G62</f>
        <v>#VALUE!</v>
      </c>
      <c r="I62" s="319" t="e">
        <f>D62/Stoff!$G62</f>
        <v>#VALUE!</v>
      </c>
      <c r="J62" s="319" t="e">
        <f>E62/Stoff!$G62</f>
        <v>#VALUE!</v>
      </c>
      <c r="K62" s="328" t="e">
        <f>IF(F62=Mellomregninger!AE62,Mellomregninger!V62,Mellomregninger!AH62)</f>
        <v>#VALUE!</v>
      </c>
      <c r="L62" s="319" t="e">
        <f>F62/Stoff!$G62</f>
        <v>#VALUE!</v>
      </c>
    </row>
    <row r="63" spans="1:12" x14ac:dyDescent="0.35">
      <c r="A63" s="239" t="s">
        <v>147</v>
      </c>
      <c r="B63" s="318" t="e">
        <f>Mellomregninger!L63</f>
        <v>#VALUE!</v>
      </c>
      <c r="C63" s="318" t="e">
        <f>Mellomregninger!BC63</f>
        <v>#VALUE!</v>
      </c>
      <c r="D63" s="318" t="e">
        <f>Mellomregninger!BO63</f>
        <v>#VALUE!</v>
      </c>
      <c r="E63" s="318" t="e">
        <f>Mellomregninger!CA63</f>
        <v>#VALUE!</v>
      </c>
      <c r="F63" s="327" t="e">
        <f>IF(ISNUMBER(Mellomregninger!AQ63),IF(Mellomregninger!AQ63&gt;Mellomregninger!AE63,Mellomregninger!AQ63,Mellomregninger!AE63),Mellomregninger!AE63)</f>
        <v>#VALUE!</v>
      </c>
      <c r="G63" s="319" t="e">
        <f>B63/Stoff!$G63</f>
        <v>#VALUE!</v>
      </c>
      <c r="H63" s="319" t="e">
        <f>C63/Stoff!$G63</f>
        <v>#VALUE!</v>
      </c>
      <c r="I63" s="319" t="e">
        <f>D63/Stoff!$G63</f>
        <v>#VALUE!</v>
      </c>
      <c r="J63" s="319" t="e">
        <f>E63/Stoff!$G63</f>
        <v>#VALUE!</v>
      </c>
      <c r="K63" s="328" t="e">
        <f>IF(F63=Mellomregninger!AE63,Mellomregninger!V63,Mellomregninger!AH63)</f>
        <v>#VALUE!</v>
      </c>
      <c r="L63" s="319" t="e">
        <f>F63/Stoff!$G63</f>
        <v>#VALUE!</v>
      </c>
    </row>
    <row r="64" spans="1:12" x14ac:dyDescent="0.35">
      <c r="A64" s="239" t="s">
        <v>146</v>
      </c>
      <c r="B64" s="318" t="e">
        <f>Mellomregninger!L64</f>
        <v>#VALUE!</v>
      </c>
      <c r="C64" s="318" t="e">
        <f>Mellomregninger!BC64</f>
        <v>#VALUE!</v>
      </c>
      <c r="D64" s="318" t="e">
        <f>Mellomregninger!BO64</f>
        <v>#VALUE!</v>
      </c>
      <c r="E64" s="318" t="e">
        <f>Mellomregninger!CA64</f>
        <v>#VALUE!</v>
      </c>
      <c r="F64" s="327" t="e">
        <f>IF(ISNUMBER(Mellomregninger!AQ64),IF(Mellomregninger!AQ64&gt;Mellomregninger!AE64,Mellomregninger!AQ64,Mellomregninger!AE64),Mellomregninger!AE64)</f>
        <v>#VALUE!</v>
      </c>
      <c r="G64" s="319" t="e">
        <f>B64/Stoff!$G64</f>
        <v>#VALUE!</v>
      </c>
      <c r="H64" s="319" t="e">
        <f>C64/Stoff!$G64</f>
        <v>#VALUE!</v>
      </c>
      <c r="I64" s="319" t="e">
        <f>D64/Stoff!$G64</f>
        <v>#VALUE!</v>
      </c>
      <c r="J64" s="319" t="e">
        <f>E64/Stoff!$G64</f>
        <v>#VALUE!</v>
      </c>
      <c r="K64" s="328" t="e">
        <f>IF(F64=Mellomregninger!AE64,Mellomregninger!V64,Mellomregninger!AH64)</f>
        <v>#VALUE!</v>
      </c>
      <c r="L64" s="319" t="e">
        <f>F64/Stoff!$G64</f>
        <v>#VALUE!</v>
      </c>
    </row>
    <row r="65" spans="1:12" x14ac:dyDescent="0.35">
      <c r="A65" s="239" t="s">
        <v>145</v>
      </c>
      <c r="B65" s="318" t="e">
        <f>Mellomregninger!L65</f>
        <v>#VALUE!</v>
      </c>
      <c r="C65" s="318" t="e">
        <f>Mellomregninger!BC65</f>
        <v>#VALUE!</v>
      </c>
      <c r="D65" s="318" t="e">
        <f>Mellomregninger!BO65</f>
        <v>#VALUE!</v>
      </c>
      <c r="E65" s="318" t="e">
        <f>Mellomregninger!CA65</f>
        <v>#VALUE!</v>
      </c>
      <c r="F65" s="327" t="e">
        <f>IF(ISNUMBER(Mellomregninger!AQ65),IF(Mellomregninger!AQ65&gt;Mellomregninger!AE65,Mellomregninger!AQ65,Mellomregninger!AE65),Mellomregninger!AE65)</f>
        <v>#VALUE!</v>
      </c>
      <c r="G65" s="319" t="e">
        <f>B65/Stoff!$G65</f>
        <v>#VALUE!</v>
      </c>
      <c r="H65" s="319" t="e">
        <f>C65/Stoff!$G65</f>
        <v>#VALUE!</v>
      </c>
      <c r="I65" s="319" t="e">
        <f>D65/Stoff!$G65</f>
        <v>#VALUE!</v>
      </c>
      <c r="J65" s="319" t="e">
        <f>E65/Stoff!$G65</f>
        <v>#VALUE!</v>
      </c>
      <c r="K65" s="328" t="e">
        <f>IF(F65=Mellomregninger!AE65,Mellomregninger!V65,Mellomregninger!AH65)</f>
        <v>#VALUE!</v>
      </c>
      <c r="L65" s="319" t="e">
        <f>F65/Stoff!$G65</f>
        <v>#VALUE!</v>
      </c>
    </row>
    <row r="66" spans="1:12" x14ac:dyDescent="0.35">
      <c r="A66" s="239" t="s">
        <v>144</v>
      </c>
      <c r="B66" s="318" t="e">
        <f>Mellomregninger!L66</f>
        <v>#VALUE!</v>
      </c>
      <c r="C66" s="318" t="e">
        <f>Mellomregninger!BC66</f>
        <v>#VALUE!</v>
      </c>
      <c r="D66" s="318" t="e">
        <f>Mellomregninger!BO66</f>
        <v>#VALUE!</v>
      </c>
      <c r="E66" s="318" t="e">
        <f>Mellomregninger!CA66</f>
        <v>#VALUE!</v>
      </c>
      <c r="F66" s="327" t="e">
        <f>IF(ISNUMBER(Mellomregninger!AQ66),IF(Mellomregninger!AQ66&gt;Mellomregninger!AE66,Mellomregninger!AQ66,Mellomregninger!AE66),Mellomregninger!AE66)</f>
        <v>#VALUE!</v>
      </c>
      <c r="G66" s="319" t="e">
        <f>B66/Stoff!$G66</f>
        <v>#VALUE!</v>
      </c>
      <c r="H66" s="319" t="e">
        <f>C66/Stoff!$G66</f>
        <v>#VALUE!</v>
      </c>
      <c r="I66" s="319" t="e">
        <f>D66/Stoff!$G66</f>
        <v>#VALUE!</v>
      </c>
      <c r="J66" s="319" t="e">
        <f>E66/Stoff!$G66</f>
        <v>#VALUE!</v>
      </c>
      <c r="K66" s="328" t="e">
        <f>IF(F66=Mellomregninger!AE66,Mellomregninger!V66,Mellomregninger!AH66)</f>
        <v>#VALUE!</v>
      </c>
      <c r="L66" s="319" t="e">
        <f>F66/Stoff!$G66</f>
        <v>#VALUE!</v>
      </c>
    </row>
    <row r="67" spans="1:12" x14ac:dyDescent="0.35">
      <c r="A67" s="239" t="s">
        <v>143</v>
      </c>
      <c r="B67" s="318" t="e">
        <f>Mellomregninger!L67</f>
        <v>#VALUE!</v>
      </c>
      <c r="C67" s="318" t="e">
        <f>Mellomregninger!BC67</f>
        <v>#VALUE!</v>
      </c>
      <c r="D67" s="318" t="e">
        <f>Mellomregninger!BO67</f>
        <v>#VALUE!</v>
      </c>
      <c r="E67" s="318" t="e">
        <f>Mellomregninger!CA67</f>
        <v>#VALUE!</v>
      </c>
      <c r="F67" s="327" t="e">
        <f>IF(ISNUMBER(Mellomregninger!AQ67),IF(Mellomregninger!AQ67&gt;Mellomregninger!AE67,Mellomregninger!AQ67,Mellomregninger!AE67),Mellomregninger!AE67)</f>
        <v>#VALUE!</v>
      </c>
      <c r="G67" s="319" t="e">
        <f>B67/Stoff!$G67</f>
        <v>#VALUE!</v>
      </c>
      <c r="H67" s="319" t="e">
        <f>C67/Stoff!$G67</f>
        <v>#VALUE!</v>
      </c>
      <c r="I67" s="319" t="e">
        <f>D67/Stoff!$G67</f>
        <v>#VALUE!</v>
      </c>
      <c r="J67" s="319" t="e">
        <f>E67/Stoff!$G67</f>
        <v>#VALUE!</v>
      </c>
      <c r="K67" s="328" t="e">
        <f>IF(F67=Mellomregninger!AE67,Mellomregninger!V67,Mellomregninger!AH67)</f>
        <v>#VALUE!</v>
      </c>
      <c r="L67" s="319" t="e">
        <f>F67/Stoff!$G67</f>
        <v>#VALUE!</v>
      </c>
    </row>
    <row r="68" spans="1:12" x14ac:dyDescent="0.35">
      <c r="A68" s="239" t="s">
        <v>142</v>
      </c>
      <c r="B68" s="318" t="e">
        <f>Mellomregninger!L68</f>
        <v>#VALUE!</v>
      </c>
      <c r="C68" s="318" t="e">
        <f>Mellomregninger!BC68</f>
        <v>#VALUE!</v>
      </c>
      <c r="D68" s="318" t="e">
        <f>Mellomregninger!BO68</f>
        <v>#VALUE!</v>
      </c>
      <c r="E68" s="318" t="e">
        <f>Mellomregninger!CA68</f>
        <v>#VALUE!</v>
      </c>
      <c r="F68" s="327" t="e">
        <f>IF(ISNUMBER(Mellomregninger!AQ68),IF(Mellomregninger!AQ68&gt;Mellomregninger!AE68,Mellomregninger!AQ68,Mellomregninger!AE68),Mellomregninger!AE68)</f>
        <v>#VALUE!</v>
      </c>
      <c r="G68" s="319" t="e">
        <f>B68/Stoff!$G68</f>
        <v>#VALUE!</v>
      </c>
      <c r="H68" s="319" t="e">
        <f>C68/Stoff!$G68</f>
        <v>#VALUE!</v>
      </c>
      <c r="I68" s="319" t="e">
        <f>D68/Stoff!$G68</f>
        <v>#VALUE!</v>
      </c>
      <c r="J68" s="319" t="e">
        <f>E68/Stoff!$G68</f>
        <v>#VALUE!</v>
      </c>
      <c r="K68" s="328" t="e">
        <f>IF(F68=Mellomregninger!AE68,Mellomregninger!V68,Mellomregninger!AH68)</f>
        <v>#VALUE!</v>
      </c>
      <c r="L68" s="319" t="e">
        <f>F68/Stoff!$G68</f>
        <v>#VALUE!</v>
      </c>
    </row>
    <row r="69" spans="1:12" x14ac:dyDescent="0.35">
      <c r="A69" s="239" t="s">
        <v>141</v>
      </c>
      <c r="B69" s="318" t="e">
        <f>Mellomregninger!L69</f>
        <v>#VALUE!</v>
      </c>
      <c r="C69" s="318" t="e">
        <f>Mellomregninger!BC69</f>
        <v>#VALUE!</v>
      </c>
      <c r="D69" s="318" t="e">
        <f>Mellomregninger!BO69</f>
        <v>#VALUE!</v>
      </c>
      <c r="E69" s="318" t="e">
        <f>Mellomregninger!CA69</f>
        <v>#VALUE!</v>
      </c>
      <c r="F69" s="327" t="e">
        <f>IF(ISNUMBER(Mellomregninger!AQ69),IF(Mellomregninger!AQ69&gt;Mellomregninger!AE69,Mellomregninger!AQ69,Mellomregninger!AE69),Mellomregninger!AE69)</f>
        <v>#VALUE!</v>
      </c>
      <c r="G69" s="319" t="e">
        <f>B69/Stoff!$G69</f>
        <v>#VALUE!</v>
      </c>
      <c r="H69" s="319" t="e">
        <f>C69/Stoff!$G69</f>
        <v>#VALUE!</v>
      </c>
      <c r="I69" s="319" t="e">
        <f>D69/Stoff!$G69</f>
        <v>#VALUE!</v>
      </c>
      <c r="J69" s="319" t="e">
        <f>E69/Stoff!$G69</f>
        <v>#VALUE!</v>
      </c>
      <c r="K69" s="328" t="e">
        <f>IF(F69=Mellomregninger!AE69,Mellomregninger!V69,Mellomregninger!AH69)</f>
        <v>#VALUE!</v>
      </c>
      <c r="L69" s="319" t="e">
        <f>F69/Stoff!$G69</f>
        <v>#VALUE!</v>
      </c>
    </row>
    <row r="70" spans="1:12" x14ac:dyDescent="0.35">
      <c r="A70" s="239" t="s">
        <v>140</v>
      </c>
      <c r="B70" s="318" t="e">
        <f>Mellomregninger!L70</f>
        <v>#VALUE!</v>
      </c>
      <c r="C70" s="318" t="e">
        <f>Mellomregninger!BC70</f>
        <v>#VALUE!</v>
      </c>
      <c r="D70" s="318" t="e">
        <f>Mellomregninger!BO70</f>
        <v>#VALUE!</v>
      </c>
      <c r="E70" s="318" t="e">
        <f>Mellomregninger!CA70</f>
        <v>#VALUE!</v>
      </c>
      <c r="F70" s="327" t="e">
        <f>IF(ISNUMBER(Mellomregninger!AQ70),IF(Mellomregninger!AQ70&gt;Mellomregninger!AE70,Mellomregninger!AQ70,Mellomregninger!AE70),Mellomregninger!AE70)</f>
        <v>#VALUE!</v>
      </c>
      <c r="G70" s="319" t="e">
        <f>B70/Stoff!$G70</f>
        <v>#VALUE!</v>
      </c>
      <c r="H70" s="319" t="e">
        <f>C70/Stoff!$G70</f>
        <v>#VALUE!</v>
      </c>
      <c r="I70" s="319" t="e">
        <f>D70/Stoff!$G70</f>
        <v>#VALUE!</v>
      </c>
      <c r="J70" s="319" t="e">
        <f>E70/Stoff!$G70</f>
        <v>#VALUE!</v>
      </c>
      <c r="K70" s="328" t="e">
        <f>IF(F70=Mellomregninger!AE70,Mellomregninger!V70,Mellomregninger!AH70)</f>
        <v>#VALUE!</v>
      </c>
      <c r="L70" s="319" t="e">
        <f>F70/Stoff!$G70</f>
        <v>#VALUE!</v>
      </c>
    </row>
    <row r="71" spans="1:12" x14ac:dyDescent="0.35">
      <c r="A71" s="239" t="s">
        <v>139</v>
      </c>
      <c r="B71" s="318" t="e">
        <f>Mellomregninger!L71</f>
        <v>#VALUE!</v>
      </c>
      <c r="C71" s="318" t="e">
        <f>Mellomregninger!BC71</f>
        <v>#VALUE!</v>
      </c>
      <c r="D71" s="318" t="e">
        <f>Mellomregninger!BO71</f>
        <v>#VALUE!</v>
      </c>
      <c r="E71" s="318" t="e">
        <f>Mellomregninger!CA71</f>
        <v>#VALUE!</v>
      </c>
      <c r="F71" s="327" t="e">
        <f>IF(ISNUMBER(Mellomregninger!AQ71),IF(Mellomregninger!AQ71&gt;Mellomregninger!AE71,Mellomregninger!AQ71,Mellomregninger!AE71),Mellomregninger!AE71)</f>
        <v>#VALUE!</v>
      </c>
      <c r="G71" s="319" t="e">
        <f>B71/Stoff!$G71</f>
        <v>#VALUE!</v>
      </c>
      <c r="H71" s="319" t="e">
        <f>C71/Stoff!$G71</f>
        <v>#VALUE!</v>
      </c>
      <c r="I71" s="319" t="e">
        <f>D71/Stoff!$G71</f>
        <v>#VALUE!</v>
      </c>
      <c r="J71" s="319" t="e">
        <f>E71/Stoff!$G71</f>
        <v>#VALUE!</v>
      </c>
      <c r="K71" s="328" t="e">
        <f>IF(F71=Mellomregninger!AE71,Mellomregninger!V71,Mellomregninger!AH71)</f>
        <v>#VALUE!</v>
      </c>
      <c r="L71" s="319" t="e">
        <f>F71/Stoff!$G71</f>
        <v>#VALUE!</v>
      </c>
    </row>
    <row r="72" spans="1:12" x14ac:dyDescent="0.35">
      <c r="A72" s="239" t="s">
        <v>138</v>
      </c>
      <c r="B72" s="318" t="e">
        <f>Mellomregninger!L72</f>
        <v>#VALUE!</v>
      </c>
      <c r="C72" s="318" t="e">
        <f>Mellomregninger!BC72</f>
        <v>#VALUE!</v>
      </c>
      <c r="D72" s="318" t="e">
        <f>Mellomregninger!BO72</f>
        <v>#VALUE!</v>
      </c>
      <c r="E72" s="318" t="e">
        <f>Mellomregninger!CA72</f>
        <v>#VALUE!</v>
      </c>
      <c r="F72" s="327" t="e">
        <f>IF(ISNUMBER(Mellomregninger!AQ72),IF(Mellomregninger!AQ72&gt;Mellomregninger!AE72,Mellomregninger!AQ72,Mellomregninger!AE72),Mellomregninger!AE72)</f>
        <v>#VALUE!</v>
      </c>
      <c r="G72" s="319" t="e">
        <f>B72/Stoff!$G72</f>
        <v>#VALUE!</v>
      </c>
      <c r="H72" s="319" t="e">
        <f>C72/Stoff!$G72</f>
        <v>#VALUE!</v>
      </c>
      <c r="I72" s="319" t="e">
        <f>D72/Stoff!$G72</f>
        <v>#VALUE!</v>
      </c>
      <c r="J72" s="319" t="e">
        <f>E72/Stoff!$G72</f>
        <v>#VALUE!</v>
      </c>
      <c r="K72" s="328" t="e">
        <f>IF(F72=Mellomregninger!AE72,Mellomregninger!V72,Mellomregninger!AH72)</f>
        <v>#VALUE!</v>
      </c>
      <c r="L72" s="319" t="e">
        <f>F72/Stoff!$G72</f>
        <v>#VALUE!</v>
      </c>
    </row>
    <row r="73" spans="1:12" x14ac:dyDescent="0.35">
      <c r="A73" s="239" t="s">
        <v>136</v>
      </c>
      <c r="B73" s="318" t="e">
        <f>Mellomregninger!L73</f>
        <v>#VALUE!</v>
      </c>
      <c r="C73" s="318" t="e">
        <f>Mellomregninger!BC73</f>
        <v>#VALUE!</v>
      </c>
      <c r="D73" s="318" t="e">
        <f>Mellomregninger!BO73</f>
        <v>#VALUE!</v>
      </c>
      <c r="E73" s="318" t="e">
        <f>Mellomregninger!CA73</f>
        <v>#VALUE!</v>
      </c>
      <c r="F73" s="327" t="e">
        <f>IF(ISNUMBER(Mellomregninger!AQ73),IF(Mellomregninger!AQ73&gt;Mellomregninger!AE73,Mellomregninger!AQ73,Mellomregninger!AE73),Mellomregninger!AE73)</f>
        <v>#VALUE!</v>
      </c>
      <c r="G73" s="319" t="e">
        <f>B73/Stoff!$G73</f>
        <v>#VALUE!</v>
      </c>
      <c r="H73" s="319" t="e">
        <f>C73/Stoff!$G73</f>
        <v>#VALUE!</v>
      </c>
      <c r="I73" s="319" t="e">
        <f>D73/Stoff!$G73</f>
        <v>#VALUE!</v>
      </c>
      <c r="J73" s="319" t="e">
        <f>E73/Stoff!$G73</f>
        <v>#VALUE!</v>
      </c>
      <c r="K73" s="328" t="e">
        <f>IF(F73=Mellomregninger!AE73,Mellomregninger!V73,Mellomregninger!AH73)</f>
        <v>#VALUE!</v>
      </c>
      <c r="L73" s="319" t="e">
        <f>F73/Stoff!$G73</f>
        <v>#VALUE!</v>
      </c>
    </row>
    <row r="74" spans="1:12" x14ac:dyDescent="0.35">
      <c r="A74" s="239" t="s">
        <v>135</v>
      </c>
      <c r="B74" s="318" t="e">
        <f>Mellomregninger!L74</f>
        <v>#VALUE!</v>
      </c>
      <c r="C74" s="318" t="e">
        <f>Mellomregninger!BC74</f>
        <v>#VALUE!</v>
      </c>
      <c r="D74" s="318" t="e">
        <f>Mellomregninger!BO74</f>
        <v>#VALUE!</v>
      </c>
      <c r="E74" s="318" t="e">
        <f>Mellomregninger!CA74</f>
        <v>#VALUE!</v>
      </c>
      <c r="F74" s="327" t="e">
        <f>IF(ISNUMBER(Mellomregninger!AQ74),IF(Mellomregninger!AQ74&gt;Mellomregninger!AE74,Mellomregninger!AQ74,Mellomregninger!AE74),Mellomregninger!AE74)</f>
        <v>#VALUE!</v>
      </c>
      <c r="G74" s="319" t="e">
        <f>B74/Stoff!$G74</f>
        <v>#VALUE!</v>
      </c>
      <c r="H74" s="319" t="e">
        <f>C74/Stoff!$G74</f>
        <v>#VALUE!</v>
      </c>
      <c r="I74" s="319" t="e">
        <f>D74/Stoff!$G74</f>
        <v>#VALUE!</v>
      </c>
      <c r="J74" s="319" t="e">
        <f>E74/Stoff!$G74</f>
        <v>#VALUE!</v>
      </c>
      <c r="K74" s="328" t="e">
        <f>IF(F74=Mellomregninger!AE74,Mellomregninger!V74,Mellomregninger!AH74)</f>
        <v>#VALUE!</v>
      </c>
      <c r="L74" s="319" t="e">
        <f>F74/Stoff!$G74</f>
        <v>#VALUE!</v>
      </c>
    </row>
    <row r="75" spans="1:12" x14ac:dyDescent="0.35">
      <c r="A75" s="239" t="s">
        <v>134</v>
      </c>
      <c r="B75" s="318" t="e">
        <f>Mellomregninger!L75</f>
        <v>#VALUE!</v>
      </c>
      <c r="C75" s="318" t="e">
        <f>Mellomregninger!BC75</f>
        <v>#VALUE!</v>
      </c>
      <c r="D75" s="318" t="e">
        <f>Mellomregninger!BO75</f>
        <v>#VALUE!</v>
      </c>
      <c r="E75" s="318" t="e">
        <f>Mellomregninger!CA75</f>
        <v>#VALUE!</v>
      </c>
      <c r="F75" s="327" t="e">
        <f>IF(ISNUMBER(Mellomregninger!AQ75),IF(Mellomregninger!AQ75&gt;Mellomregninger!AE75,Mellomregninger!AQ75,Mellomregninger!AE75),Mellomregninger!AE75)</f>
        <v>#VALUE!</v>
      </c>
      <c r="G75" s="319" t="e">
        <f>B75/Stoff!$G75</f>
        <v>#VALUE!</v>
      </c>
      <c r="H75" s="319" t="e">
        <f>C75/Stoff!$G75</f>
        <v>#VALUE!</v>
      </c>
      <c r="I75" s="319" t="e">
        <f>D75/Stoff!$G75</f>
        <v>#VALUE!</v>
      </c>
      <c r="J75" s="319" t="e">
        <f>E75/Stoff!$G75</f>
        <v>#VALUE!</v>
      </c>
      <c r="K75" s="328" t="e">
        <f>IF(F75=Mellomregninger!AE75,Mellomregninger!V75,Mellomregninger!AH75)</f>
        <v>#VALUE!</v>
      </c>
      <c r="L75" s="319" t="e">
        <f>F75/Stoff!$G75</f>
        <v>#VALUE!</v>
      </c>
    </row>
    <row r="76" spans="1:12" x14ac:dyDescent="0.35">
      <c r="A76" s="239" t="s">
        <v>133</v>
      </c>
      <c r="B76" s="318" t="e">
        <f>Mellomregninger!L76</f>
        <v>#VALUE!</v>
      </c>
      <c r="C76" s="318" t="e">
        <f>Mellomregninger!BC76</f>
        <v>#VALUE!</v>
      </c>
      <c r="D76" s="318" t="e">
        <f>Mellomregninger!BO76</f>
        <v>#VALUE!</v>
      </c>
      <c r="E76" s="318" t="e">
        <f>Mellomregninger!CA76</f>
        <v>#VALUE!</v>
      </c>
      <c r="F76" s="327" t="e">
        <f>IF(ISNUMBER(Mellomregninger!AQ76),IF(Mellomregninger!AQ76&gt;Mellomregninger!AE76,Mellomregninger!AQ76,Mellomregninger!AE76),Mellomregninger!AE76)</f>
        <v>#VALUE!</v>
      </c>
      <c r="G76" s="319" t="e">
        <f>B76/Stoff!$G76</f>
        <v>#VALUE!</v>
      </c>
      <c r="H76" s="319" t="e">
        <f>C76/Stoff!$G76</f>
        <v>#VALUE!</v>
      </c>
      <c r="I76" s="319" t="e">
        <f>D76/Stoff!$G76</f>
        <v>#VALUE!</v>
      </c>
      <c r="J76" s="319" t="e">
        <f>E76/Stoff!$G76</f>
        <v>#VALUE!</v>
      </c>
      <c r="K76" s="328" t="e">
        <f>IF(F76=Mellomregninger!AE76,Mellomregninger!V76,Mellomregninger!AH76)</f>
        <v>#VALUE!</v>
      </c>
      <c r="L76" s="319" t="e">
        <f>F76/Stoff!$G76</f>
        <v>#VALUE!</v>
      </c>
    </row>
    <row r="77" spans="1:12" x14ac:dyDescent="0.35">
      <c r="A77" s="239" t="s">
        <v>132</v>
      </c>
      <c r="B77" s="318" t="e">
        <f>Mellomregninger!L77</f>
        <v>#VALUE!</v>
      </c>
      <c r="C77" s="318" t="e">
        <f>Mellomregninger!BC77</f>
        <v>#VALUE!</v>
      </c>
      <c r="D77" s="318" t="e">
        <f>Mellomregninger!BO77</f>
        <v>#VALUE!</v>
      </c>
      <c r="E77" s="318" t="e">
        <f>Mellomregninger!CA77</f>
        <v>#VALUE!</v>
      </c>
      <c r="F77" s="327" t="e">
        <f>IF(ISNUMBER(Mellomregninger!AQ77),IF(Mellomregninger!AQ77&gt;Mellomregninger!AE77,Mellomregninger!AQ77,Mellomregninger!AE77),Mellomregninger!AE77)</f>
        <v>#VALUE!</v>
      </c>
      <c r="G77" s="319" t="e">
        <f>B77/Stoff!$G77</f>
        <v>#VALUE!</v>
      </c>
      <c r="H77" s="319" t="e">
        <f>C77/Stoff!$G77</f>
        <v>#VALUE!</v>
      </c>
      <c r="I77" s="319" t="e">
        <f>D77/Stoff!$G77</f>
        <v>#VALUE!</v>
      </c>
      <c r="J77" s="319" t="e">
        <f>E77/Stoff!$G77</f>
        <v>#VALUE!</v>
      </c>
      <c r="K77" s="328" t="e">
        <f>IF(F77=Mellomregninger!AE77,Mellomregninger!V77,Mellomregninger!AH77)</f>
        <v>#VALUE!</v>
      </c>
      <c r="L77" s="319" t="e">
        <f>F77/Stoff!$G77</f>
        <v>#VALUE!</v>
      </c>
    </row>
    <row r="78" spans="1:12" x14ac:dyDescent="0.35">
      <c r="A78" s="239" t="s">
        <v>131</v>
      </c>
      <c r="B78" s="318" t="e">
        <f>Mellomregninger!L78</f>
        <v>#VALUE!</v>
      </c>
      <c r="C78" s="318" t="e">
        <f>Mellomregninger!BC78</f>
        <v>#VALUE!</v>
      </c>
      <c r="D78" s="318" t="e">
        <f>Mellomregninger!BO78</f>
        <v>#VALUE!</v>
      </c>
      <c r="E78" s="318" t="e">
        <f>Mellomregninger!CA78</f>
        <v>#VALUE!</v>
      </c>
      <c r="F78" s="327" t="e">
        <f>IF(ISNUMBER(Mellomregninger!AQ78),IF(Mellomregninger!AQ78&gt;Mellomregninger!AE78,Mellomregninger!AQ78,Mellomregninger!AE78),Mellomregninger!AE78)</f>
        <v>#VALUE!</v>
      </c>
      <c r="G78" s="319" t="e">
        <f>B78/Stoff!$G78</f>
        <v>#VALUE!</v>
      </c>
      <c r="H78" s="319" t="e">
        <f>C78/Stoff!$G78</f>
        <v>#VALUE!</v>
      </c>
      <c r="I78" s="319" t="e">
        <f>D78/Stoff!$G78</f>
        <v>#VALUE!</v>
      </c>
      <c r="J78" s="319" t="e">
        <f>E78/Stoff!$G78</f>
        <v>#VALUE!</v>
      </c>
      <c r="K78" s="328" t="e">
        <f>IF(F78=Mellomregninger!AE78,Mellomregninger!V78,Mellomregninger!AH78)</f>
        <v>#VALUE!</v>
      </c>
      <c r="L78" s="319" t="e">
        <f>F78/Stoff!$G78</f>
        <v>#VALUE!</v>
      </c>
    </row>
    <row r="79" spans="1:12" x14ac:dyDescent="0.35">
      <c r="A79" s="239" t="s">
        <v>130</v>
      </c>
      <c r="B79" s="318" t="e">
        <f>Mellomregninger!L79</f>
        <v>#VALUE!</v>
      </c>
      <c r="C79" s="318" t="e">
        <f>Mellomregninger!BC79</f>
        <v>#VALUE!</v>
      </c>
      <c r="D79" s="318" t="e">
        <f>Mellomregninger!BO79</f>
        <v>#VALUE!</v>
      </c>
      <c r="E79" s="318" t="e">
        <f>Mellomregninger!CA79</f>
        <v>#VALUE!</v>
      </c>
      <c r="F79" s="327" t="e">
        <f>IF(ISNUMBER(Mellomregninger!AQ79),IF(Mellomregninger!AQ79&gt;Mellomregninger!AE79,Mellomregninger!AQ79,Mellomregninger!AE79),Mellomregninger!AE79)</f>
        <v>#VALUE!</v>
      </c>
      <c r="G79" s="319" t="e">
        <f>B79/Stoff!$G79</f>
        <v>#VALUE!</v>
      </c>
      <c r="H79" s="319" t="e">
        <f>C79/Stoff!$G79</f>
        <v>#VALUE!</v>
      </c>
      <c r="I79" s="319" t="e">
        <f>D79/Stoff!$G79</f>
        <v>#VALUE!</v>
      </c>
      <c r="J79" s="319" t="e">
        <f>E79/Stoff!$G79</f>
        <v>#VALUE!</v>
      </c>
      <c r="K79" s="328" t="e">
        <f>IF(F79=Mellomregninger!AE79,Mellomregninger!V79,Mellomregninger!AH79)</f>
        <v>#VALUE!</v>
      </c>
      <c r="L79" s="319" t="e">
        <f>F79/Stoff!$G79</f>
        <v>#VALUE!</v>
      </c>
    </row>
    <row r="80" spans="1:12" x14ac:dyDescent="0.35">
      <c r="A80" s="239" t="s">
        <v>129</v>
      </c>
      <c r="B80" s="318" t="e">
        <f>Mellomregninger!L80</f>
        <v>#VALUE!</v>
      </c>
      <c r="C80" s="318" t="e">
        <f>Mellomregninger!BC80</f>
        <v>#VALUE!</v>
      </c>
      <c r="D80" s="318" t="e">
        <f>Mellomregninger!BO80</f>
        <v>#VALUE!</v>
      </c>
      <c r="E80" s="318" t="e">
        <f>Mellomregninger!CA80</f>
        <v>#VALUE!</v>
      </c>
      <c r="F80" s="327" t="e">
        <f>IF(ISNUMBER(Mellomregninger!AQ80),IF(Mellomregninger!AQ80&gt;Mellomregninger!AE80,Mellomregninger!AQ80,Mellomregninger!AE80),Mellomregninger!AE80)</f>
        <v>#VALUE!</v>
      </c>
      <c r="G80" s="319" t="e">
        <f>B80/Stoff!$G80</f>
        <v>#VALUE!</v>
      </c>
      <c r="H80" s="319" t="e">
        <f>C80/Stoff!$G80</f>
        <v>#VALUE!</v>
      </c>
      <c r="I80" s="319" t="e">
        <f>D80/Stoff!$G80</f>
        <v>#VALUE!</v>
      </c>
      <c r="J80" s="319" t="e">
        <f>E80/Stoff!$G80</f>
        <v>#VALUE!</v>
      </c>
      <c r="K80" s="328" t="e">
        <f>IF(F80=Mellomregninger!AE80,Mellomregninger!V80,Mellomregninger!AH80)</f>
        <v>#VALUE!</v>
      </c>
      <c r="L80" s="319" t="e">
        <f>F80/Stoff!$G80</f>
        <v>#VALUE!</v>
      </c>
    </row>
    <row r="81" spans="1:12" x14ac:dyDescent="0.35">
      <c r="A81" s="239" t="s">
        <v>128</v>
      </c>
      <c r="B81" s="318" t="e">
        <f>Mellomregninger!L81</f>
        <v>#VALUE!</v>
      </c>
      <c r="C81" s="318" t="e">
        <f>Mellomregninger!BC81</f>
        <v>#VALUE!</v>
      </c>
      <c r="D81" s="318" t="e">
        <f>Mellomregninger!BO81</f>
        <v>#VALUE!</v>
      </c>
      <c r="E81" s="318" t="e">
        <f>Mellomregninger!CA81</f>
        <v>#VALUE!</v>
      </c>
      <c r="F81" s="327" t="e">
        <f>IF(ISNUMBER(Mellomregninger!AQ81),IF(Mellomregninger!AQ81&gt;Mellomregninger!AE81,Mellomregninger!AQ81,Mellomregninger!AE81),Mellomregninger!AE81)</f>
        <v>#VALUE!</v>
      </c>
      <c r="G81" s="319" t="e">
        <f>B81/Stoff!$G81</f>
        <v>#VALUE!</v>
      </c>
      <c r="H81" s="319" t="e">
        <f>C81/Stoff!$G81</f>
        <v>#VALUE!</v>
      </c>
      <c r="I81" s="319" t="e">
        <f>D81/Stoff!$G81</f>
        <v>#VALUE!</v>
      </c>
      <c r="J81" s="319" t="e">
        <f>E81/Stoff!$G81</f>
        <v>#VALUE!</v>
      </c>
      <c r="K81" s="328" t="e">
        <f>IF(F81=Mellomregninger!AE81,Mellomregninger!V81,Mellomregninger!AH81)</f>
        <v>#VALUE!</v>
      </c>
      <c r="L81" s="319" t="e">
        <f>F81/Stoff!$G81</f>
        <v>#VALUE!</v>
      </c>
    </row>
    <row r="82" spans="1:12" x14ac:dyDescent="0.35">
      <c r="A82" s="239" t="s">
        <v>127</v>
      </c>
      <c r="B82" s="318" t="e">
        <f>Mellomregninger!L82</f>
        <v>#VALUE!</v>
      </c>
      <c r="C82" s="318" t="e">
        <f>Mellomregninger!BC82</f>
        <v>#VALUE!</v>
      </c>
      <c r="D82" s="318" t="e">
        <f>Mellomregninger!BO82</f>
        <v>#VALUE!</v>
      </c>
      <c r="E82" s="318" t="e">
        <f>Mellomregninger!CA82</f>
        <v>#VALUE!</v>
      </c>
      <c r="F82" s="327" t="e">
        <f>IF(ISNUMBER(Mellomregninger!AQ82),IF(Mellomregninger!AQ82&gt;Mellomregninger!AE82,Mellomregninger!AQ82,Mellomregninger!AE82),Mellomregninger!AE82)</f>
        <v>#VALUE!</v>
      </c>
      <c r="G82" s="319" t="e">
        <f>B82/Stoff!$G82</f>
        <v>#VALUE!</v>
      </c>
      <c r="H82" s="319" t="e">
        <f>C82/Stoff!$G82</f>
        <v>#VALUE!</v>
      </c>
      <c r="I82" s="319" t="e">
        <f>D82/Stoff!$G82</f>
        <v>#VALUE!</v>
      </c>
      <c r="J82" s="319" t="e">
        <f>E82/Stoff!$G82</f>
        <v>#VALUE!</v>
      </c>
      <c r="K82" s="328" t="e">
        <f>IF(F82=Mellomregninger!AE82,Mellomregninger!V82,Mellomregninger!AH82)</f>
        <v>#VALUE!</v>
      </c>
      <c r="L82" s="319" t="e">
        <f>F82/Stoff!$G82</f>
        <v>#VALUE!</v>
      </c>
    </row>
    <row r="83" spans="1:12" x14ac:dyDescent="0.35">
      <c r="A83" s="239" t="s">
        <v>126</v>
      </c>
      <c r="B83" s="318" t="e">
        <f>Mellomregninger!L83</f>
        <v>#VALUE!</v>
      </c>
      <c r="C83" s="318" t="e">
        <f>Mellomregninger!BC83</f>
        <v>#VALUE!</v>
      </c>
      <c r="D83" s="318" t="e">
        <f>Mellomregninger!BO83</f>
        <v>#VALUE!</v>
      </c>
      <c r="E83" s="318" t="e">
        <f>Mellomregninger!CA83</f>
        <v>#VALUE!</v>
      </c>
      <c r="F83" s="327" t="e">
        <f>IF(ISNUMBER(Mellomregninger!AQ83),IF(Mellomregninger!AQ83&gt;Mellomregninger!AE83,Mellomregninger!AQ83,Mellomregninger!AE83),Mellomregninger!AE83)</f>
        <v>#VALUE!</v>
      </c>
      <c r="G83" s="319" t="e">
        <f>B83/Stoff!$G83</f>
        <v>#VALUE!</v>
      </c>
      <c r="H83" s="319" t="e">
        <f>C83/Stoff!$G83</f>
        <v>#VALUE!</v>
      </c>
      <c r="I83" s="319" t="e">
        <f>D83/Stoff!$G83</f>
        <v>#VALUE!</v>
      </c>
      <c r="J83" s="319" t="e">
        <f>E83/Stoff!$G83</f>
        <v>#VALUE!</v>
      </c>
      <c r="K83" s="328" t="e">
        <f>IF(F83=Mellomregninger!AE83,Mellomregninger!V83,Mellomregninger!AH83)</f>
        <v>#VALUE!</v>
      </c>
      <c r="L83" s="319" t="e">
        <f>F83/Stoff!$G83</f>
        <v>#VALUE!</v>
      </c>
    </row>
    <row r="84" spans="1:12" x14ac:dyDescent="0.35">
      <c r="A84" s="239" t="s">
        <v>125</v>
      </c>
      <c r="B84" s="318" t="e">
        <f>Mellomregninger!L84</f>
        <v>#VALUE!</v>
      </c>
      <c r="C84" s="318" t="e">
        <f>Mellomregninger!BC84</f>
        <v>#VALUE!</v>
      </c>
      <c r="D84" s="318" t="e">
        <f>Mellomregninger!BO84</f>
        <v>#VALUE!</v>
      </c>
      <c r="E84" s="318" t="e">
        <f>Mellomregninger!CA84</f>
        <v>#VALUE!</v>
      </c>
      <c r="F84" s="327" t="e">
        <f>IF(ISNUMBER(Mellomregninger!AQ84),IF(Mellomregninger!AQ84&gt;Mellomregninger!AE84,Mellomregninger!AQ84,Mellomregninger!AE84),Mellomregninger!AE84)</f>
        <v>#VALUE!</v>
      </c>
      <c r="G84" s="319" t="e">
        <f>B84/Stoff!$G84</f>
        <v>#VALUE!</v>
      </c>
      <c r="H84" s="319" t="e">
        <f>C84/Stoff!$G84</f>
        <v>#VALUE!</v>
      </c>
      <c r="I84" s="319" t="e">
        <f>D84/Stoff!$G84</f>
        <v>#VALUE!</v>
      </c>
      <c r="J84" s="319" t="e">
        <f>E84/Stoff!$G84</f>
        <v>#VALUE!</v>
      </c>
      <c r="K84" s="328" t="e">
        <f>IF(F84=Mellomregninger!AE84,Mellomregninger!V84,Mellomregninger!AH84)</f>
        <v>#VALUE!</v>
      </c>
      <c r="L84" s="319" t="e">
        <f>F84/Stoff!$G84</f>
        <v>#VALUE!</v>
      </c>
    </row>
    <row r="85" spans="1:12" x14ac:dyDescent="0.35">
      <c r="A85" s="239" t="s">
        <v>124</v>
      </c>
      <c r="B85" s="318" t="e">
        <f>Mellomregninger!L85</f>
        <v>#VALUE!</v>
      </c>
      <c r="C85" s="318" t="e">
        <f>Mellomregninger!BC85</f>
        <v>#VALUE!</v>
      </c>
      <c r="D85" s="318" t="e">
        <f>Mellomregninger!BO85</f>
        <v>#VALUE!</v>
      </c>
      <c r="E85" s="318" t="e">
        <f>Mellomregninger!CA85</f>
        <v>#VALUE!</v>
      </c>
      <c r="F85" s="327" t="e">
        <f>IF(ISNUMBER(Mellomregninger!AQ85),IF(Mellomregninger!AQ85&gt;Mellomregninger!AE85,Mellomregninger!AQ85,Mellomregninger!AE85),Mellomregninger!AE85)</f>
        <v>#VALUE!</v>
      </c>
      <c r="G85" s="319" t="e">
        <f>B85/Stoff!$G85</f>
        <v>#VALUE!</v>
      </c>
      <c r="H85" s="319" t="e">
        <f>C85/Stoff!$G85</f>
        <v>#VALUE!</v>
      </c>
      <c r="I85" s="319" t="e">
        <f>D85/Stoff!$G85</f>
        <v>#VALUE!</v>
      </c>
      <c r="J85" s="319" t="e">
        <f>E85/Stoff!$G85</f>
        <v>#VALUE!</v>
      </c>
      <c r="K85" s="328" t="e">
        <f>IF(F85=Mellomregninger!AE85,Mellomregninger!V85,Mellomregninger!AH85)</f>
        <v>#VALUE!</v>
      </c>
      <c r="L85" s="319" t="e">
        <f>F85/Stoff!$G85</f>
        <v>#VALUE!</v>
      </c>
    </row>
    <row r="86" spans="1:12" x14ac:dyDescent="0.35">
      <c r="A86" s="239" t="s">
        <v>123</v>
      </c>
      <c r="B86" s="318" t="e">
        <f>Mellomregninger!L86</f>
        <v>#VALUE!</v>
      </c>
      <c r="C86" s="318" t="e">
        <f>Mellomregninger!BC86</f>
        <v>#VALUE!</v>
      </c>
      <c r="D86" s="318" t="e">
        <f>Mellomregninger!BO86</f>
        <v>#VALUE!</v>
      </c>
      <c r="E86" s="318" t="e">
        <f>Mellomregninger!CA86</f>
        <v>#VALUE!</v>
      </c>
      <c r="F86" s="327" t="e">
        <f>IF(ISNUMBER(Mellomregninger!AQ86),IF(Mellomregninger!AQ86&gt;Mellomregninger!AE86,Mellomregninger!AQ86,Mellomregninger!AE86),Mellomregninger!AE86)</f>
        <v>#VALUE!</v>
      </c>
      <c r="G86" s="319" t="e">
        <f>B86/Stoff!$G86</f>
        <v>#VALUE!</v>
      </c>
      <c r="H86" s="319" t="e">
        <f>C86/Stoff!$G86</f>
        <v>#VALUE!</v>
      </c>
      <c r="I86" s="319" t="e">
        <f>D86/Stoff!$G86</f>
        <v>#VALUE!</v>
      </c>
      <c r="J86" s="319" t="e">
        <f>E86/Stoff!$G86</f>
        <v>#VALUE!</v>
      </c>
      <c r="K86" s="328" t="e">
        <f>IF(F86=Mellomregninger!AE86,Mellomregninger!V86,Mellomregninger!AH86)</f>
        <v>#VALUE!</v>
      </c>
      <c r="L86" s="319" t="e">
        <f>F86/Stoff!$G86</f>
        <v>#VALUE!</v>
      </c>
    </row>
    <row r="87" spans="1:12" x14ac:dyDescent="0.35">
      <c r="A87" s="301" t="str">
        <f>Stoff!A87</f>
        <v>nystoff 1</v>
      </c>
      <c r="B87" s="318" t="e">
        <f>Mellomregninger!L87</f>
        <v>#VALUE!</v>
      </c>
      <c r="C87" s="318" t="e">
        <f>Mellomregninger!BC87</f>
        <v>#VALUE!</v>
      </c>
      <c r="D87" s="318" t="e">
        <f>Mellomregninger!BO87</f>
        <v>#VALUE!</v>
      </c>
      <c r="E87" s="318" t="e">
        <f>Mellomregninger!CA87</f>
        <v>#VALUE!</v>
      </c>
      <c r="F87" s="327" t="e">
        <f>IF(ISNUMBER(Mellomregninger!AQ87),IF(Mellomregninger!AQ87&gt;Mellomregninger!AE87,Mellomregninger!AQ87,Mellomregninger!AE87),Mellomregninger!AE87)</f>
        <v>#VALUE!</v>
      </c>
      <c r="G87" s="319" t="e">
        <f>B87/Stoff!$G87</f>
        <v>#VALUE!</v>
      </c>
      <c r="H87" s="319" t="e">
        <f>C87/Stoff!$G87</f>
        <v>#VALUE!</v>
      </c>
      <c r="I87" s="319" t="e">
        <f>D87/Stoff!$G87</f>
        <v>#VALUE!</v>
      </c>
      <c r="J87" s="319" t="e">
        <f>E87/Stoff!$G87</f>
        <v>#VALUE!</v>
      </c>
      <c r="K87" s="328" t="e">
        <f>IF(F87=Mellomregninger!AE87,Mellomregninger!V87,Mellomregninger!AH87)</f>
        <v>#VALUE!</v>
      </c>
      <c r="L87" s="319" t="e">
        <f>F87/Stoff!$G87</f>
        <v>#VALUE!</v>
      </c>
    </row>
    <row r="88" spans="1:12" x14ac:dyDescent="0.35">
      <c r="A88" s="301" t="str">
        <f>Stoff!A88</f>
        <v>nystoff 2</v>
      </c>
      <c r="B88" s="318" t="e">
        <f>Mellomregninger!L88</f>
        <v>#VALUE!</v>
      </c>
      <c r="C88" s="318" t="e">
        <f>Mellomregninger!BC88</f>
        <v>#VALUE!</v>
      </c>
      <c r="D88" s="318" t="e">
        <f>Mellomregninger!BO88</f>
        <v>#VALUE!</v>
      </c>
      <c r="E88" s="318" t="e">
        <f>Mellomregninger!CA88</f>
        <v>#VALUE!</v>
      </c>
      <c r="F88" s="327" t="e">
        <f>IF(ISNUMBER(Mellomregninger!AQ88),IF(Mellomregninger!AQ88&gt;Mellomregninger!AE88,Mellomregninger!AQ88,Mellomregninger!AE88),Mellomregninger!AE88)</f>
        <v>#VALUE!</v>
      </c>
      <c r="G88" s="319" t="e">
        <f>B88/Stoff!$G88</f>
        <v>#VALUE!</v>
      </c>
      <c r="H88" s="319" t="e">
        <f>C88/Stoff!$G88</f>
        <v>#VALUE!</v>
      </c>
      <c r="I88" s="319" t="e">
        <f>D88/Stoff!$G88</f>
        <v>#VALUE!</v>
      </c>
      <c r="J88" s="319" t="e">
        <f>E88/Stoff!$G88</f>
        <v>#VALUE!</v>
      </c>
      <c r="K88" s="328" t="e">
        <f>IF(F88=Mellomregninger!AE88,Mellomregninger!V88,Mellomregninger!AH88)</f>
        <v>#VALUE!</v>
      </c>
      <c r="L88" s="319" t="e">
        <f>F88/Stoff!$G88</f>
        <v>#VALUE!</v>
      </c>
    </row>
    <row r="89" spans="1:12" x14ac:dyDescent="0.35">
      <c r="A89" s="301" t="str">
        <f>Stoff!A89</f>
        <v>nystoff 3</v>
      </c>
      <c r="B89" s="318" t="e">
        <f>Mellomregninger!L89</f>
        <v>#VALUE!</v>
      </c>
      <c r="C89" s="318" t="e">
        <f>Mellomregninger!BC89</f>
        <v>#VALUE!</v>
      </c>
      <c r="D89" s="318" t="e">
        <f>Mellomregninger!BO89</f>
        <v>#VALUE!</v>
      </c>
      <c r="E89" s="318" t="e">
        <f>Mellomregninger!CA89</f>
        <v>#VALUE!</v>
      </c>
      <c r="F89" s="327" t="e">
        <f>IF(ISNUMBER(Mellomregninger!AQ89),IF(Mellomregninger!AQ89&gt;Mellomregninger!AE89,Mellomregninger!AQ89,Mellomregninger!AE89),Mellomregninger!AE89)</f>
        <v>#VALUE!</v>
      </c>
      <c r="G89" s="319" t="e">
        <f>B89/Stoff!$G89</f>
        <v>#VALUE!</v>
      </c>
      <c r="H89" s="319" t="e">
        <f>C89/Stoff!$G89</f>
        <v>#VALUE!</v>
      </c>
      <c r="I89" s="319" t="e">
        <f>D89/Stoff!$G89</f>
        <v>#VALUE!</v>
      </c>
      <c r="J89" s="319" t="e">
        <f>E89/Stoff!$G89</f>
        <v>#VALUE!</v>
      </c>
      <c r="K89" s="328" t="e">
        <f>IF(F89=Mellomregninger!AE89,Mellomregninger!V89,Mellomregninger!AH89)</f>
        <v>#VALUE!</v>
      </c>
      <c r="L89" s="319" t="e">
        <f>F89/Stoff!$G89</f>
        <v>#VALUE!</v>
      </c>
    </row>
    <row r="90" spans="1:12" x14ac:dyDescent="0.35">
      <c r="A90" s="301" t="str">
        <f>Stoff!A90</f>
        <v>nystoff 4</v>
      </c>
      <c r="B90" s="318" t="e">
        <f>Mellomregninger!L90</f>
        <v>#VALUE!</v>
      </c>
      <c r="C90" s="318" t="e">
        <f>Mellomregninger!BC90</f>
        <v>#VALUE!</v>
      </c>
      <c r="D90" s="318" t="e">
        <f>Mellomregninger!BO90</f>
        <v>#VALUE!</v>
      </c>
      <c r="E90" s="318" t="e">
        <f>Mellomregninger!CA90</f>
        <v>#VALUE!</v>
      </c>
      <c r="F90" s="327" t="e">
        <f>IF(ISNUMBER(Mellomregninger!AQ90),IF(Mellomregninger!AQ90&gt;Mellomregninger!AE90,Mellomregninger!AQ90,Mellomregninger!AE90),Mellomregninger!AE90)</f>
        <v>#VALUE!</v>
      </c>
      <c r="G90" s="319" t="e">
        <f>B90/Stoff!$G90</f>
        <v>#VALUE!</v>
      </c>
      <c r="H90" s="319" t="e">
        <f>C90/Stoff!$G90</f>
        <v>#VALUE!</v>
      </c>
      <c r="I90" s="319" t="e">
        <f>D90/Stoff!$G90</f>
        <v>#VALUE!</v>
      </c>
      <c r="J90" s="319" t="e">
        <f>E90/Stoff!$G90</f>
        <v>#VALUE!</v>
      </c>
      <c r="K90" s="328" t="e">
        <f>IF(F90=Mellomregninger!AE90,Mellomregninger!V90,Mellomregninger!AH90)</f>
        <v>#VALUE!</v>
      </c>
      <c r="L90" s="319" t="e">
        <f>F90/Stoff!$G90</f>
        <v>#VALUE!</v>
      </c>
    </row>
    <row r="91" spans="1:12" x14ac:dyDescent="0.35">
      <c r="A91" s="301" t="str">
        <f>Stoff!A91</f>
        <v>nystoff 5</v>
      </c>
      <c r="B91" s="318" t="e">
        <f>Mellomregninger!L91</f>
        <v>#VALUE!</v>
      </c>
      <c r="C91" s="318" t="e">
        <f>Mellomregninger!BC91</f>
        <v>#VALUE!</v>
      </c>
      <c r="D91" s="318" t="e">
        <f>Mellomregninger!BO91</f>
        <v>#VALUE!</v>
      </c>
      <c r="E91" s="318" t="e">
        <f>Mellomregninger!CA91</f>
        <v>#VALUE!</v>
      </c>
      <c r="F91" s="327" t="e">
        <f>IF(ISNUMBER(Mellomregninger!AQ91),IF(Mellomregninger!AQ91&gt;Mellomregninger!AE91,Mellomregninger!AQ91,Mellomregninger!AE91),Mellomregninger!AE91)</f>
        <v>#VALUE!</v>
      </c>
      <c r="G91" s="319" t="e">
        <f>B91/Stoff!$G91</f>
        <v>#VALUE!</v>
      </c>
      <c r="H91" s="319" t="e">
        <f>C91/Stoff!$G91</f>
        <v>#VALUE!</v>
      </c>
      <c r="I91" s="319" t="e">
        <f>D91/Stoff!$G91</f>
        <v>#VALUE!</v>
      </c>
      <c r="J91" s="319" t="e">
        <f>E91/Stoff!$G91</f>
        <v>#VALUE!</v>
      </c>
      <c r="K91" s="328" t="e">
        <f>IF(F91=Mellomregninger!AE91,Mellomregninger!V91,Mellomregninger!AH91)</f>
        <v>#VALUE!</v>
      </c>
      <c r="L91" s="319" t="e">
        <f>F91/Stoff!$G91</f>
        <v>#VALUE!</v>
      </c>
    </row>
    <row r="92" spans="1:12" x14ac:dyDescent="0.35">
      <c r="A92" s="301" t="str">
        <f>Stoff!A92</f>
        <v>nystoff 6</v>
      </c>
      <c r="B92" s="318" t="e">
        <f>Mellomregninger!L92</f>
        <v>#VALUE!</v>
      </c>
      <c r="C92" s="318" t="e">
        <f>Mellomregninger!BC92</f>
        <v>#VALUE!</v>
      </c>
      <c r="D92" s="318" t="e">
        <f>Mellomregninger!BO92</f>
        <v>#VALUE!</v>
      </c>
      <c r="E92" s="318" t="e">
        <f>Mellomregninger!CA92</f>
        <v>#VALUE!</v>
      </c>
      <c r="F92" s="327" t="e">
        <f>IF(ISNUMBER(Mellomregninger!AQ92),IF(Mellomregninger!AQ92&gt;Mellomregninger!AE92,Mellomregninger!AQ92,Mellomregninger!AE92),Mellomregninger!AE92)</f>
        <v>#VALUE!</v>
      </c>
      <c r="G92" s="319" t="e">
        <f>B92/Stoff!$G92</f>
        <v>#VALUE!</v>
      </c>
      <c r="H92" s="319" t="e">
        <f>C92/Stoff!$G92</f>
        <v>#VALUE!</v>
      </c>
      <c r="I92" s="319" t="e">
        <f>D92/Stoff!$G92</f>
        <v>#VALUE!</v>
      </c>
      <c r="J92" s="319" t="e">
        <f>E92/Stoff!$G92</f>
        <v>#VALUE!</v>
      </c>
      <c r="K92" s="328" t="e">
        <f>IF(F92=Mellomregninger!AE92,Mellomregninger!V92,Mellomregninger!AH92)</f>
        <v>#VALUE!</v>
      </c>
      <c r="L92" s="319" t="e">
        <f>F92/Stoff!$G92</f>
        <v>#VALUE!</v>
      </c>
    </row>
    <row r="93" spans="1:12" x14ac:dyDescent="0.35">
      <c r="A93" s="301" t="str">
        <f>Stoff!A93</f>
        <v>nystoff 7</v>
      </c>
      <c r="B93" s="318" t="e">
        <f>Mellomregninger!L93</f>
        <v>#VALUE!</v>
      </c>
      <c r="C93" s="318" t="e">
        <f>Mellomregninger!BC93</f>
        <v>#VALUE!</v>
      </c>
      <c r="D93" s="318" t="e">
        <f>Mellomregninger!BO93</f>
        <v>#VALUE!</v>
      </c>
      <c r="E93" s="318" t="e">
        <f>Mellomregninger!CA93</f>
        <v>#VALUE!</v>
      </c>
      <c r="F93" s="327" t="e">
        <f>IF(ISNUMBER(Mellomregninger!AQ93),IF(Mellomregninger!AQ93&gt;Mellomregninger!AE93,Mellomregninger!AQ93,Mellomregninger!AE93),Mellomregninger!AE93)</f>
        <v>#VALUE!</v>
      </c>
      <c r="G93" s="319" t="e">
        <f>B93/Stoff!$G93</f>
        <v>#VALUE!</v>
      </c>
      <c r="H93" s="319" t="e">
        <f>C93/Stoff!$G93</f>
        <v>#VALUE!</v>
      </c>
      <c r="I93" s="319" t="e">
        <f>D93/Stoff!$G93</f>
        <v>#VALUE!</v>
      </c>
      <c r="J93" s="319" t="e">
        <f>E93/Stoff!$G93</f>
        <v>#VALUE!</v>
      </c>
      <c r="K93" s="328" t="e">
        <f>IF(F93=Mellomregninger!AE93,Mellomregninger!V93,Mellomregninger!AH93)</f>
        <v>#VALUE!</v>
      </c>
      <c r="L93" s="319" t="e">
        <f>F93/Stoff!$G93</f>
        <v>#VALUE!</v>
      </c>
    </row>
    <row r="94" spans="1:12" x14ac:dyDescent="0.35">
      <c r="A94" s="301" t="str">
        <f>Stoff!A94</f>
        <v>nystoff 8</v>
      </c>
      <c r="B94" s="318" t="e">
        <f>Mellomregninger!L94</f>
        <v>#VALUE!</v>
      </c>
      <c r="C94" s="318" t="e">
        <f>Mellomregninger!BC94</f>
        <v>#VALUE!</v>
      </c>
      <c r="D94" s="318" t="e">
        <f>Mellomregninger!BO94</f>
        <v>#VALUE!</v>
      </c>
      <c r="E94" s="318" t="e">
        <f>Mellomregninger!CA94</f>
        <v>#VALUE!</v>
      </c>
      <c r="F94" s="327" t="e">
        <f>IF(ISNUMBER(Mellomregninger!AQ94),IF(Mellomregninger!AQ94&gt;Mellomregninger!AE94,Mellomregninger!AQ94,Mellomregninger!AE94),Mellomregninger!AE94)</f>
        <v>#VALUE!</v>
      </c>
      <c r="G94" s="328" t="e">
        <f>B94/Stoff!$G94</f>
        <v>#VALUE!</v>
      </c>
      <c r="H94" s="328" t="e">
        <f>C94/Stoff!$G94</f>
        <v>#VALUE!</v>
      </c>
      <c r="I94" s="328" t="e">
        <f>D94/Stoff!$G94</f>
        <v>#VALUE!</v>
      </c>
      <c r="J94" s="328" t="e">
        <f>E94/Stoff!$G94</f>
        <v>#VALUE!</v>
      </c>
      <c r="K94" s="328" t="e">
        <f>IF(F94=Mellomregninger!AE94,Mellomregninger!V94,Mellomregninger!AH94)</f>
        <v>#VALUE!</v>
      </c>
      <c r="L94" s="319" t="e">
        <f>F94/Stoff!$G94</f>
        <v>#VALUE!</v>
      </c>
    </row>
    <row r="95" spans="1:12" x14ac:dyDescent="0.35">
      <c r="A95" s="301" t="str">
        <f>Stoff!A95</f>
        <v>nystoff 9</v>
      </c>
      <c r="B95" s="318" t="e">
        <f>Mellomregninger!L95</f>
        <v>#VALUE!</v>
      </c>
      <c r="C95" s="318" t="e">
        <f>Mellomregninger!BC95</f>
        <v>#VALUE!</v>
      </c>
      <c r="D95" s="318" t="e">
        <f>Mellomregninger!BO95</f>
        <v>#VALUE!</v>
      </c>
      <c r="E95" s="318" t="e">
        <f>Mellomregninger!CA95</f>
        <v>#VALUE!</v>
      </c>
      <c r="F95" s="327" t="e">
        <f>IF(ISNUMBER(Mellomregninger!AQ95),IF(Mellomregninger!AQ95&gt;Mellomregninger!AE95,Mellomregninger!AQ95,Mellomregninger!AE95),Mellomregninger!AE95)</f>
        <v>#VALUE!</v>
      </c>
      <c r="G95" s="328" t="e">
        <f>B95/Stoff!$G95</f>
        <v>#VALUE!</v>
      </c>
      <c r="H95" s="328" t="e">
        <f>C95/Stoff!$G95</f>
        <v>#VALUE!</v>
      </c>
      <c r="I95" s="328" t="e">
        <f>D95/Stoff!$G95</f>
        <v>#VALUE!</v>
      </c>
      <c r="J95" s="328" t="e">
        <f>E95/Stoff!$G95</f>
        <v>#VALUE!</v>
      </c>
      <c r="K95" s="328" t="e">
        <f>IF(F95=Mellomregninger!AE95,Mellomregninger!V95,Mellomregninger!AH95)</f>
        <v>#VALUE!</v>
      </c>
      <c r="L95" s="319" t="e">
        <f>F95/Stoff!$G95</f>
        <v>#VALUE!</v>
      </c>
    </row>
    <row r="96" spans="1:12" x14ac:dyDescent="0.35">
      <c r="A96" s="301" t="str">
        <f>Stoff!A96</f>
        <v>nystoff 10</v>
      </c>
      <c r="B96" s="318" t="e">
        <f>Mellomregninger!L96</f>
        <v>#VALUE!</v>
      </c>
      <c r="C96" s="318" t="e">
        <f>Mellomregninger!BC96</f>
        <v>#VALUE!</v>
      </c>
      <c r="D96" s="318" t="e">
        <f>Mellomregninger!BO96</f>
        <v>#VALUE!</v>
      </c>
      <c r="E96" s="318" t="e">
        <f>Mellomregninger!CA96</f>
        <v>#VALUE!</v>
      </c>
      <c r="F96" s="327" t="e">
        <f>IF(ISNUMBER(Mellomregninger!AQ96),IF(Mellomregninger!AQ96&gt;Mellomregninger!AE96,Mellomregninger!AQ96,Mellomregninger!AE96),Mellomregninger!AE96)</f>
        <v>#VALUE!</v>
      </c>
      <c r="G96" s="328" t="e">
        <f>B96/Stoff!$G96</f>
        <v>#VALUE!</v>
      </c>
      <c r="H96" s="328" t="e">
        <f>C96/Stoff!$G96</f>
        <v>#VALUE!</v>
      </c>
      <c r="I96" s="328" t="e">
        <f>D96/Stoff!$G96</f>
        <v>#VALUE!</v>
      </c>
      <c r="J96" s="328" t="e">
        <f>E96/Stoff!$G96</f>
        <v>#VALUE!</v>
      </c>
      <c r="K96" s="328" t="e">
        <f>IF(F96=Mellomregninger!AE96,Mellomregninger!V96,Mellomregninger!AH96)</f>
        <v>#VALUE!</v>
      </c>
      <c r="L96" s="319" t="e">
        <f>F96/Stoff!$G96</f>
        <v>#VALUE!</v>
      </c>
    </row>
    <row r="97" spans="1:12" x14ac:dyDescent="0.35">
      <c r="A97" s="301" t="str">
        <f>Stoff!A97</f>
        <v>nystoff 11</v>
      </c>
      <c r="B97" s="318" t="e">
        <f>Mellomregninger!L97</f>
        <v>#VALUE!</v>
      </c>
      <c r="C97" s="318" t="e">
        <f>Mellomregninger!BC97</f>
        <v>#VALUE!</v>
      </c>
      <c r="D97" s="318" t="e">
        <f>Mellomregninger!BO97</f>
        <v>#VALUE!</v>
      </c>
      <c r="E97" s="318" t="e">
        <f>Mellomregninger!CA97</f>
        <v>#VALUE!</v>
      </c>
      <c r="F97" s="327" t="e">
        <f>IF(ISNUMBER(Mellomregninger!AQ97),IF(Mellomregninger!AQ97&gt;Mellomregninger!AE97,Mellomregninger!AQ97,Mellomregninger!AE97),Mellomregninger!AE97)</f>
        <v>#VALUE!</v>
      </c>
      <c r="G97" s="328" t="e">
        <f>B97/Stoff!$G97</f>
        <v>#VALUE!</v>
      </c>
      <c r="H97" s="328" t="e">
        <f>C97/Stoff!$G97</f>
        <v>#VALUE!</v>
      </c>
      <c r="I97" s="328" t="e">
        <f>D97/Stoff!$G97</f>
        <v>#VALUE!</v>
      </c>
      <c r="J97" s="328" t="e">
        <f>E97/Stoff!$G97</f>
        <v>#VALUE!</v>
      </c>
      <c r="K97" s="328" t="e">
        <f>IF(F97=Mellomregninger!AE97,Mellomregninger!V97,Mellomregninger!AH97)</f>
        <v>#VALUE!</v>
      </c>
      <c r="L97" s="319" t="e">
        <f>F97/Stoff!$G97</f>
        <v>#VALUE!</v>
      </c>
    </row>
    <row r="98" spans="1:12" x14ac:dyDescent="0.35">
      <c r="A98" s="301" t="str">
        <f>Stoff!A98</f>
        <v>nystoff 12</v>
      </c>
      <c r="B98" s="318" t="e">
        <f>Mellomregninger!L98</f>
        <v>#VALUE!</v>
      </c>
      <c r="C98" s="318" t="e">
        <f>Mellomregninger!BC98</f>
        <v>#VALUE!</v>
      </c>
      <c r="D98" s="318" t="e">
        <f>Mellomregninger!BO98</f>
        <v>#VALUE!</v>
      </c>
      <c r="E98" s="318" t="e">
        <f>Mellomregninger!CA98</f>
        <v>#VALUE!</v>
      </c>
      <c r="F98" s="327" t="e">
        <f>IF(ISNUMBER(Mellomregninger!AQ98),IF(Mellomregninger!AQ98&gt;Mellomregninger!AE98,Mellomregninger!AQ98,Mellomregninger!AE98),Mellomregninger!AE98)</f>
        <v>#VALUE!</v>
      </c>
      <c r="G98" s="328" t="e">
        <f>B98/Stoff!$G98</f>
        <v>#VALUE!</v>
      </c>
      <c r="H98" s="328" t="e">
        <f>C98/Stoff!$G98</f>
        <v>#VALUE!</v>
      </c>
      <c r="I98" s="328" t="e">
        <f>D98/Stoff!$G98</f>
        <v>#VALUE!</v>
      </c>
      <c r="J98" s="328" t="e">
        <f>E98/Stoff!$G98</f>
        <v>#VALUE!</v>
      </c>
      <c r="K98" s="328" t="e">
        <f>IF(F98=Mellomregninger!AE98,Mellomregninger!V98,Mellomregninger!AH98)</f>
        <v>#VALUE!</v>
      </c>
      <c r="L98" s="319" t="e">
        <f>F98/Stoff!$G98</f>
        <v>#VALUE!</v>
      </c>
    </row>
    <row r="99" spans="1:12" x14ac:dyDescent="0.35">
      <c r="A99" s="301" t="str">
        <f>Stoff!A99</f>
        <v>nystoff 13</v>
      </c>
      <c r="B99" s="318" t="e">
        <f>Mellomregninger!L99</f>
        <v>#VALUE!</v>
      </c>
      <c r="C99" s="318" t="e">
        <f>Mellomregninger!BC99</f>
        <v>#VALUE!</v>
      </c>
      <c r="D99" s="318" t="e">
        <f>Mellomregninger!BO99</f>
        <v>#VALUE!</v>
      </c>
      <c r="E99" s="318" t="e">
        <f>Mellomregninger!CA99</f>
        <v>#VALUE!</v>
      </c>
      <c r="F99" s="327" t="e">
        <f>IF(ISNUMBER(Mellomregninger!AQ99),IF(Mellomregninger!AQ99&gt;Mellomregninger!AE99,Mellomregninger!AQ99,Mellomregninger!AE99),Mellomregninger!AE99)</f>
        <v>#VALUE!</v>
      </c>
      <c r="G99" s="328" t="e">
        <f>B99/Stoff!$G99</f>
        <v>#VALUE!</v>
      </c>
      <c r="H99" s="328" t="e">
        <f>C99/Stoff!$G99</f>
        <v>#VALUE!</v>
      </c>
      <c r="I99" s="328" t="e">
        <f>D99/Stoff!$G99</f>
        <v>#VALUE!</v>
      </c>
      <c r="J99" s="328" t="e">
        <f>E99/Stoff!$G99</f>
        <v>#VALUE!</v>
      </c>
      <c r="K99" s="328" t="e">
        <f>IF(F99=Mellomregninger!AE99,Mellomregninger!V99,Mellomregninger!AH99)</f>
        <v>#VALUE!</v>
      </c>
      <c r="L99" s="319" t="e">
        <f>F99/Stoff!$G99</f>
        <v>#VALUE!</v>
      </c>
    </row>
    <row r="100" spans="1:12" x14ac:dyDescent="0.35">
      <c r="A100" s="301" t="str">
        <f>Stoff!A100</f>
        <v>nystoff 14</v>
      </c>
      <c r="B100" s="318" t="e">
        <f>Mellomregninger!L100</f>
        <v>#VALUE!</v>
      </c>
      <c r="C100" s="318" t="e">
        <f>Mellomregninger!BC100</f>
        <v>#VALUE!</v>
      </c>
      <c r="D100" s="318" t="e">
        <f>Mellomregninger!BO100</f>
        <v>#VALUE!</v>
      </c>
      <c r="E100" s="318" t="e">
        <f>Mellomregninger!CA100</f>
        <v>#VALUE!</v>
      </c>
      <c r="F100" s="327" t="e">
        <f>IF(ISNUMBER(Mellomregninger!AQ100),IF(Mellomregninger!AQ100&gt;Mellomregninger!AE100,Mellomregninger!AQ100,Mellomregninger!AE100),Mellomregninger!AE100)</f>
        <v>#VALUE!</v>
      </c>
      <c r="G100" s="328" t="e">
        <f>B100/Stoff!$G100</f>
        <v>#VALUE!</v>
      </c>
      <c r="H100" s="328" t="e">
        <f>C100/Stoff!$G100</f>
        <v>#VALUE!</v>
      </c>
      <c r="I100" s="328" t="e">
        <f>D100/Stoff!$G100</f>
        <v>#VALUE!</v>
      </c>
      <c r="J100" s="328" t="e">
        <f>E100/Stoff!$G100</f>
        <v>#VALUE!</v>
      </c>
      <c r="K100" s="328" t="e">
        <f>IF(F100=Mellomregninger!AE100,Mellomregninger!V100,Mellomregninger!AH100)</f>
        <v>#VALUE!</v>
      </c>
      <c r="L100" s="319" t="e">
        <f>F100/Stoff!$G100</f>
        <v>#VALUE!</v>
      </c>
    </row>
    <row r="101" spans="1:12" x14ac:dyDescent="0.35">
      <c r="A101" s="301" t="str">
        <f>Stoff!A101</f>
        <v>nystoff 15</v>
      </c>
      <c r="B101" s="318" t="e">
        <f>Mellomregninger!L101</f>
        <v>#VALUE!</v>
      </c>
      <c r="C101" s="318" t="e">
        <f>Mellomregninger!BC101</f>
        <v>#VALUE!</v>
      </c>
      <c r="D101" s="318" t="e">
        <f>Mellomregninger!BO101</f>
        <v>#VALUE!</v>
      </c>
      <c r="E101" s="318" t="e">
        <f>Mellomregninger!CA101</f>
        <v>#VALUE!</v>
      </c>
      <c r="F101" s="327" t="e">
        <f>IF(ISNUMBER(Mellomregninger!AQ101),IF(Mellomregninger!AQ101&gt;Mellomregninger!AE101,Mellomregninger!AQ101,Mellomregninger!AE101),Mellomregninger!AE101)</f>
        <v>#VALUE!</v>
      </c>
      <c r="G101" s="328" t="e">
        <f>B101/Stoff!$G101</f>
        <v>#VALUE!</v>
      </c>
      <c r="H101" s="328" t="e">
        <f>C101/Stoff!$G101</f>
        <v>#VALUE!</v>
      </c>
      <c r="I101" s="328" t="e">
        <f>D101/Stoff!$G101</f>
        <v>#VALUE!</v>
      </c>
      <c r="J101" s="328" t="e">
        <f>E101/Stoff!$G101</f>
        <v>#VALUE!</v>
      </c>
      <c r="K101" s="328" t="e">
        <f>IF(F101=Mellomregninger!AE101,Mellomregninger!V101,Mellomregninger!AH101)</f>
        <v>#VALUE!</v>
      </c>
      <c r="L101" s="319" t="e">
        <f>F101/Stoff!$G101</f>
        <v>#VALUE!</v>
      </c>
    </row>
    <row r="102" spans="1:12" x14ac:dyDescent="0.35">
      <c r="A102" s="301" t="str">
        <f>Stoff!A102</f>
        <v>nystoff 16</v>
      </c>
      <c r="B102" s="318" t="e">
        <f>Mellomregninger!L102</f>
        <v>#VALUE!</v>
      </c>
      <c r="C102" s="318" t="e">
        <f>Mellomregninger!BC102</f>
        <v>#VALUE!</v>
      </c>
      <c r="D102" s="318" t="e">
        <f>Mellomregninger!BO102</f>
        <v>#VALUE!</v>
      </c>
      <c r="E102" s="318" t="e">
        <f>Mellomregninger!CA102</f>
        <v>#VALUE!</v>
      </c>
      <c r="F102" s="327" t="e">
        <f>IF(ISNUMBER(Mellomregninger!AQ102),IF(Mellomregninger!AQ102&gt;Mellomregninger!AE102,Mellomregninger!AQ102,Mellomregninger!AE102),Mellomregninger!AE102)</f>
        <v>#VALUE!</v>
      </c>
      <c r="G102" s="328" t="e">
        <f>B102/Stoff!$G102</f>
        <v>#VALUE!</v>
      </c>
      <c r="H102" s="328" t="e">
        <f>C102/Stoff!$G102</f>
        <v>#VALUE!</v>
      </c>
      <c r="I102" s="328" t="e">
        <f>D102/Stoff!$G102</f>
        <v>#VALUE!</v>
      </c>
      <c r="J102" s="328" t="e">
        <f>E102/Stoff!$G102</f>
        <v>#VALUE!</v>
      </c>
      <c r="K102" s="328" t="e">
        <f>IF(F102=Mellomregninger!AE102,Mellomregninger!V102,Mellomregninger!AH102)</f>
        <v>#VALUE!</v>
      </c>
      <c r="L102" s="319" t="e">
        <f>F102/Stoff!$G102</f>
        <v>#VALUE!</v>
      </c>
    </row>
    <row r="103" spans="1:12" x14ac:dyDescent="0.35">
      <c r="A103" s="301" t="str">
        <f>Stoff!A103</f>
        <v>nystoff 17</v>
      </c>
      <c r="B103" s="318" t="e">
        <f>Mellomregninger!L103</f>
        <v>#VALUE!</v>
      </c>
      <c r="C103" s="318" t="e">
        <f>Mellomregninger!BC103</f>
        <v>#VALUE!</v>
      </c>
      <c r="D103" s="318" t="e">
        <f>Mellomregninger!BO103</f>
        <v>#VALUE!</v>
      </c>
      <c r="E103" s="318" t="e">
        <f>Mellomregninger!CA103</f>
        <v>#VALUE!</v>
      </c>
      <c r="F103" s="327" t="e">
        <f>IF(ISNUMBER(Mellomregninger!AQ103),IF(Mellomregninger!AQ103&gt;Mellomregninger!AE103,Mellomregninger!AQ103,Mellomregninger!AE103),Mellomregninger!AE103)</f>
        <v>#VALUE!</v>
      </c>
      <c r="G103" s="328" t="e">
        <f>B103/Stoff!$G103</f>
        <v>#VALUE!</v>
      </c>
      <c r="H103" s="328" t="e">
        <f>C103/Stoff!$G103</f>
        <v>#VALUE!</v>
      </c>
      <c r="I103" s="328" t="e">
        <f>D103/Stoff!$G103</f>
        <v>#VALUE!</v>
      </c>
      <c r="J103" s="328" t="e">
        <f>E103/Stoff!$G103</f>
        <v>#VALUE!</v>
      </c>
      <c r="K103" s="328" t="e">
        <f>IF(F103=Mellomregninger!AE103,Mellomregninger!V103,Mellomregninger!AH103)</f>
        <v>#VALUE!</v>
      </c>
      <c r="L103" s="319" t="e">
        <f>F103/Stoff!$G103</f>
        <v>#VALUE!</v>
      </c>
    </row>
    <row r="104" spans="1:12" x14ac:dyDescent="0.35">
      <c r="A104" s="301" t="str">
        <f>Stoff!A104</f>
        <v>nystoff 18</v>
      </c>
      <c r="B104" s="318" t="e">
        <f>Mellomregninger!L104</f>
        <v>#VALUE!</v>
      </c>
      <c r="C104" s="318" t="e">
        <f>Mellomregninger!BC104</f>
        <v>#VALUE!</v>
      </c>
      <c r="D104" s="318" t="e">
        <f>Mellomregninger!BO104</f>
        <v>#VALUE!</v>
      </c>
      <c r="E104" s="318" t="e">
        <f>Mellomregninger!CA104</f>
        <v>#VALUE!</v>
      </c>
      <c r="F104" s="327" t="e">
        <f>IF(ISNUMBER(Mellomregninger!AQ104),IF(Mellomregninger!AQ104&gt;Mellomregninger!AE104,Mellomregninger!AQ104,Mellomregninger!AE104),Mellomregninger!AE104)</f>
        <v>#VALUE!</v>
      </c>
      <c r="G104" s="328" t="e">
        <f>B104/Stoff!$G104</f>
        <v>#VALUE!</v>
      </c>
      <c r="H104" s="328" t="e">
        <f>C104/Stoff!$G104</f>
        <v>#VALUE!</v>
      </c>
      <c r="I104" s="328" t="e">
        <f>D104/Stoff!$G104</f>
        <v>#VALUE!</v>
      </c>
      <c r="J104" s="328" t="e">
        <f>E104/Stoff!$G104</f>
        <v>#VALUE!</v>
      </c>
      <c r="K104" s="328" t="e">
        <f>IF(F104=Mellomregninger!AE104,Mellomregninger!V104,Mellomregninger!AH104)</f>
        <v>#VALUE!</v>
      </c>
      <c r="L104" s="319" t="e">
        <f>F104/Stoff!$G104</f>
        <v>#VALUE!</v>
      </c>
    </row>
    <row r="105" spans="1:12" x14ac:dyDescent="0.35">
      <c r="A105" s="301" t="str">
        <f>Stoff!A105</f>
        <v>nystoff 19</v>
      </c>
      <c r="B105" s="318" t="e">
        <f>Mellomregninger!L105</f>
        <v>#VALUE!</v>
      </c>
      <c r="C105" s="318" t="e">
        <f>Mellomregninger!BC105</f>
        <v>#VALUE!</v>
      </c>
      <c r="D105" s="318" t="e">
        <f>Mellomregninger!BO105</f>
        <v>#VALUE!</v>
      </c>
      <c r="E105" s="318" t="e">
        <f>Mellomregninger!CA105</f>
        <v>#VALUE!</v>
      </c>
      <c r="F105" s="327" t="e">
        <f>IF(ISNUMBER(Mellomregninger!AQ105),IF(Mellomregninger!AQ105&gt;Mellomregninger!AE105,Mellomregninger!AQ105,Mellomregninger!AE105),Mellomregninger!AE105)</f>
        <v>#VALUE!</v>
      </c>
      <c r="G105" s="328" t="e">
        <f>B105/Stoff!$G105</f>
        <v>#VALUE!</v>
      </c>
      <c r="H105" s="328" t="e">
        <f>C105/Stoff!$G105</f>
        <v>#VALUE!</v>
      </c>
      <c r="I105" s="328" t="e">
        <f>D105/Stoff!$G105</f>
        <v>#VALUE!</v>
      </c>
      <c r="J105" s="328" t="e">
        <f>E105/Stoff!$G105</f>
        <v>#VALUE!</v>
      </c>
      <c r="K105" s="328" t="e">
        <f>IF(F105=Mellomregninger!AE105,Mellomregninger!V105,Mellomregninger!AH105)</f>
        <v>#VALUE!</v>
      </c>
      <c r="L105" s="319" t="e">
        <f>F105/Stoff!$G105</f>
        <v>#VALUE!</v>
      </c>
    </row>
    <row r="106" spans="1:12" x14ac:dyDescent="0.35">
      <c r="A106" s="301" t="str">
        <f>Stoff!A106</f>
        <v>nystoff 20</v>
      </c>
      <c r="B106" s="318" t="e">
        <f>Mellomregninger!L106</f>
        <v>#VALUE!</v>
      </c>
      <c r="C106" s="318" t="e">
        <f>Mellomregninger!BC106</f>
        <v>#VALUE!</v>
      </c>
      <c r="D106" s="318" t="e">
        <f>Mellomregninger!BO106</f>
        <v>#VALUE!</v>
      </c>
      <c r="E106" s="318" t="e">
        <f>Mellomregninger!CA106</f>
        <v>#VALUE!</v>
      </c>
      <c r="F106" s="327" t="e">
        <f>IF(ISNUMBER(Mellomregninger!AQ106),IF(Mellomregninger!AQ106&gt;Mellomregninger!AE106,Mellomregninger!AQ106,Mellomregninger!AE106),Mellomregninger!AE106)</f>
        <v>#VALUE!</v>
      </c>
      <c r="G106" s="328" t="e">
        <f>B106/Stoff!$G106</f>
        <v>#VALUE!</v>
      </c>
      <c r="H106" s="328" t="e">
        <f>C106/Stoff!$G106</f>
        <v>#VALUE!</v>
      </c>
      <c r="I106" s="328" t="e">
        <f>D106/Stoff!$G106</f>
        <v>#VALUE!</v>
      </c>
      <c r="J106" s="328" t="e">
        <f>E106/Stoff!$G106</f>
        <v>#VALUE!</v>
      </c>
      <c r="K106" s="328" t="e">
        <f>IF(F106=Mellomregninger!AE106,Mellomregninger!V106,Mellomregninger!AH106)</f>
        <v>#VALUE!</v>
      </c>
      <c r="L106" s="319" t="e">
        <f>F106/Stoff!$G106</f>
        <v>#VALUE!</v>
      </c>
    </row>
    <row r="107" spans="1:12" x14ac:dyDescent="0.35">
      <c r="A107" s="301" t="str">
        <f>Stoff!A107</f>
        <v>nystoff 21</v>
      </c>
      <c r="B107" s="318" t="e">
        <f>Mellomregninger!L107</f>
        <v>#VALUE!</v>
      </c>
      <c r="C107" s="318" t="e">
        <f>Mellomregninger!BC107</f>
        <v>#VALUE!</v>
      </c>
      <c r="D107" s="318" t="e">
        <f>Mellomregninger!BO107</f>
        <v>#VALUE!</v>
      </c>
      <c r="E107" s="318" t="e">
        <f>Mellomregninger!CA107</f>
        <v>#VALUE!</v>
      </c>
      <c r="F107" s="327" t="e">
        <f>IF(ISNUMBER(Mellomregninger!AQ107),IF(Mellomregninger!AQ107&gt;Mellomregninger!AE107,Mellomregninger!AQ107,Mellomregninger!AE107),Mellomregninger!AE107)</f>
        <v>#VALUE!</v>
      </c>
      <c r="G107" s="328" t="e">
        <f>B107/Stoff!$G107</f>
        <v>#VALUE!</v>
      </c>
      <c r="H107" s="328" t="e">
        <f>C107/Stoff!$G107</f>
        <v>#VALUE!</v>
      </c>
      <c r="I107" s="328" t="e">
        <f>D107/Stoff!$G107</f>
        <v>#VALUE!</v>
      </c>
      <c r="J107" s="328" t="e">
        <f>E107/Stoff!$G107</f>
        <v>#VALUE!</v>
      </c>
      <c r="K107" s="328" t="e">
        <f>IF(F107=Mellomregninger!AE107,Mellomregninger!V107,Mellomregninger!AH107)</f>
        <v>#VALUE!</v>
      </c>
      <c r="L107" s="319" t="e">
        <f>F107/Stoff!$G107</f>
        <v>#VALUE!</v>
      </c>
    </row>
    <row r="108" spans="1:12" x14ac:dyDescent="0.35">
      <c r="A108" s="301" t="str">
        <f>Stoff!A108</f>
        <v>nystoff 22</v>
      </c>
      <c r="B108" s="318" t="e">
        <f>Mellomregninger!L108</f>
        <v>#VALUE!</v>
      </c>
      <c r="C108" s="318" t="e">
        <f>Mellomregninger!BC108</f>
        <v>#VALUE!</v>
      </c>
      <c r="D108" s="318" t="e">
        <f>Mellomregninger!BO108</f>
        <v>#VALUE!</v>
      </c>
      <c r="E108" s="318" t="e">
        <f>Mellomregninger!CA108</f>
        <v>#VALUE!</v>
      </c>
      <c r="F108" s="327" t="e">
        <f>IF(ISNUMBER(Mellomregninger!AQ108),IF(Mellomregninger!AQ108&gt;Mellomregninger!AE108,Mellomregninger!AQ108,Mellomregninger!AE108),Mellomregninger!AE108)</f>
        <v>#VALUE!</v>
      </c>
      <c r="G108" s="328" t="e">
        <f>B108/Stoff!$G108</f>
        <v>#VALUE!</v>
      </c>
      <c r="H108" s="328" t="e">
        <f>C108/Stoff!$G108</f>
        <v>#VALUE!</v>
      </c>
      <c r="I108" s="328" t="e">
        <f>D108/Stoff!$G108</f>
        <v>#VALUE!</v>
      </c>
      <c r="J108" s="328" t="e">
        <f>E108/Stoff!$G108</f>
        <v>#VALUE!</v>
      </c>
      <c r="K108" s="328" t="e">
        <f>IF(F108=Mellomregninger!AE108,Mellomregninger!V108,Mellomregninger!AH108)</f>
        <v>#VALUE!</v>
      </c>
      <c r="L108" s="319" t="e">
        <f>F108/Stoff!$G108</f>
        <v>#VALUE!</v>
      </c>
    </row>
    <row r="109" spans="1:12" x14ac:dyDescent="0.35">
      <c r="A109" s="301" t="str">
        <f>Stoff!A109</f>
        <v>nystoff 23</v>
      </c>
      <c r="B109" s="318" t="e">
        <f>Mellomregninger!L109</f>
        <v>#VALUE!</v>
      </c>
      <c r="C109" s="318" t="e">
        <f>Mellomregninger!BC109</f>
        <v>#VALUE!</v>
      </c>
      <c r="D109" s="318" t="e">
        <f>Mellomregninger!BO109</f>
        <v>#VALUE!</v>
      </c>
      <c r="E109" s="318" t="e">
        <f>Mellomregninger!CA109</f>
        <v>#VALUE!</v>
      </c>
      <c r="F109" s="327" t="e">
        <f>IF(ISNUMBER(Mellomregninger!AQ109),IF(Mellomregninger!AQ109&gt;Mellomregninger!AE109,Mellomregninger!AQ109,Mellomregninger!AE109),Mellomregninger!AE109)</f>
        <v>#VALUE!</v>
      </c>
      <c r="G109" s="328" t="e">
        <f>B109/Stoff!$G109</f>
        <v>#VALUE!</v>
      </c>
      <c r="H109" s="328" t="e">
        <f>C109/Stoff!$G109</f>
        <v>#VALUE!</v>
      </c>
      <c r="I109" s="328" t="e">
        <f>D109/Stoff!$G109</f>
        <v>#VALUE!</v>
      </c>
      <c r="J109" s="328" t="e">
        <f>E109/Stoff!$G109</f>
        <v>#VALUE!</v>
      </c>
      <c r="K109" s="328" t="e">
        <f>IF(F109=Mellomregninger!AE109,Mellomregninger!V109,Mellomregninger!AH109)</f>
        <v>#VALUE!</v>
      </c>
      <c r="L109" s="319" t="e">
        <f>F109/Stoff!$G109</f>
        <v>#VALUE!</v>
      </c>
    </row>
    <row r="110" spans="1:12" x14ac:dyDescent="0.35">
      <c r="A110" s="301" t="str">
        <f>Stoff!A110</f>
        <v>nystoff 24</v>
      </c>
      <c r="B110" s="318" t="e">
        <f>Mellomregninger!L110</f>
        <v>#VALUE!</v>
      </c>
      <c r="C110" s="318" t="e">
        <f>Mellomregninger!BC110</f>
        <v>#VALUE!</v>
      </c>
      <c r="D110" s="318" t="e">
        <f>Mellomregninger!BO110</f>
        <v>#VALUE!</v>
      </c>
      <c r="E110" s="318" t="e">
        <f>Mellomregninger!CA110</f>
        <v>#VALUE!</v>
      </c>
      <c r="F110" s="327" t="e">
        <f>IF(ISNUMBER(Mellomregninger!AQ110),IF(Mellomregninger!AQ110&gt;Mellomregninger!AE110,Mellomregninger!AQ110,Mellomregninger!AE110),Mellomregninger!AE110)</f>
        <v>#VALUE!</v>
      </c>
      <c r="G110" s="328" t="e">
        <f>B110/Stoff!$G110</f>
        <v>#VALUE!</v>
      </c>
      <c r="H110" s="328" t="e">
        <f>C110/Stoff!$G110</f>
        <v>#VALUE!</v>
      </c>
      <c r="I110" s="328" t="e">
        <f>D110/Stoff!$G110</f>
        <v>#VALUE!</v>
      </c>
      <c r="J110" s="328" t="e">
        <f>E110/Stoff!$G110</f>
        <v>#VALUE!</v>
      </c>
      <c r="K110" s="328" t="e">
        <f>IF(F110=Mellomregninger!AE110,Mellomregninger!V110,Mellomregninger!AH110)</f>
        <v>#VALUE!</v>
      </c>
      <c r="L110" s="319" t="e">
        <f>F110/Stoff!$G110</f>
        <v>#VALUE!</v>
      </c>
    </row>
    <row r="111" spans="1:12" x14ac:dyDescent="0.35">
      <c r="A111" s="301" t="str">
        <f>Stoff!A111</f>
        <v>nystoff 25</v>
      </c>
      <c r="B111" s="318" t="e">
        <f>Mellomregninger!L111</f>
        <v>#VALUE!</v>
      </c>
      <c r="C111" s="318" t="e">
        <f>Mellomregninger!BC111</f>
        <v>#VALUE!</v>
      </c>
      <c r="D111" s="318" t="e">
        <f>Mellomregninger!BO111</f>
        <v>#VALUE!</v>
      </c>
      <c r="E111" s="318" t="e">
        <f>Mellomregninger!CA111</f>
        <v>#VALUE!</v>
      </c>
      <c r="F111" s="327" t="e">
        <f>IF(ISNUMBER(Mellomregninger!AQ111),IF(Mellomregninger!AQ111&gt;Mellomregninger!AE111,Mellomregninger!AQ111,Mellomregninger!AE111),Mellomregninger!AE111)</f>
        <v>#VALUE!</v>
      </c>
      <c r="G111" s="328" t="e">
        <f>B111/Stoff!$G111</f>
        <v>#VALUE!</v>
      </c>
      <c r="H111" s="328" t="e">
        <f>C111/Stoff!$G111</f>
        <v>#VALUE!</v>
      </c>
      <c r="I111" s="328" t="e">
        <f>D111/Stoff!$G111</f>
        <v>#VALUE!</v>
      </c>
      <c r="J111" s="328" t="e">
        <f>E111/Stoff!$G111</f>
        <v>#VALUE!</v>
      </c>
      <c r="K111" s="328" t="e">
        <f>IF(F111=Mellomregninger!AE111,Mellomregninger!V111,Mellomregninger!AH111)</f>
        <v>#VALUE!</v>
      </c>
      <c r="L111" s="319" t="e">
        <f>F111/Stoff!$G111</f>
        <v>#VALUE!</v>
      </c>
    </row>
    <row r="112" spans="1:12" x14ac:dyDescent="0.35">
      <c r="A112" s="301" t="str">
        <f>Stoff!A112</f>
        <v>nystoff 26</v>
      </c>
      <c r="B112" s="318" t="e">
        <f>Mellomregninger!L112</f>
        <v>#VALUE!</v>
      </c>
      <c r="C112" s="318" t="e">
        <f>Mellomregninger!BC112</f>
        <v>#VALUE!</v>
      </c>
      <c r="D112" s="318" t="e">
        <f>Mellomregninger!BO112</f>
        <v>#VALUE!</v>
      </c>
      <c r="E112" s="318" t="e">
        <f>Mellomregninger!CA112</f>
        <v>#VALUE!</v>
      </c>
      <c r="F112" s="327" t="e">
        <f>IF(ISNUMBER(Mellomregninger!AQ112),IF(Mellomregninger!AQ112&gt;Mellomregninger!AE112,Mellomregninger!AQ112,Mellomregninger!AE112),Mellomregninger!AE112)</f>
        <v>#VALUE!</v>
      </c>
      <c r="G112" s="328" t="e">
        <f>B112/Stoff!$G112</f>
        <v>#VALUE!</v>
      </c>
      <c r="H112" s="328" t="e">
        <f>C112/Stoff!$G112</f>
        <v>#VALUE!</v>
      </c>
      <c r="I112" s="328" t="e">
        <f>D112/Stoff!$G112</f>
        <v>#VALUE!</v>
      </c>
      <c r="J112" s="328" t="e">
        <f>E112/Stoff!$G112</f>
        <v>#VALUE!</v>
      </c>
      <c r="K112" s="328" t="e">
        <f>IF(F112=Mellomregninger!AE112,Mellomregninger!V112,Mellomregninger!AH112)</f>
        <v>#VALUE!</v>
      </c>
      <c r="L112" s="319" t="e">
        <f>F112/Stoff!$G112</f>
        <v>#VALUE!</v>
      </c>
    </row>
    <row r="113" spans="1:12" x14ac:dyDescent="0.35">
      <c r="A113" s="301" t="str">
        <f>Stoff!A113</f>
        <v>nystoff 27</v>
      </c>
      <c r="B113" s="318" t="e">
        <f>Mellomregninger!L113</f>
        <v>#VALUE!</v>
      </c>
      <c r="C113" s="318" t="e">
        <f>Mellomregninger!BC113</f>
        <v>#VALUE!</v>
      </c>
      <c r="D113" s="318" t="e">
        <f>Mellomregninger!BO113</f>
        <v>#VALUE!</v>
      </c>
      <c r="E113" s="318" t="e">
        <f>Mellomregninger!CA113</f>
        <v>#VALUE!</v>
      </c>
      <c r="F113" s="327" t="e">
        <f>IF(ISNUMBER(Mellomregninger!AQ113),IF(Mellomregninger!AQ113&gt;Mellomregninger!AE113,Mellomregninger!AQ113,Mellomregninger!AE113),Mellomregninger!AE113)</f>
        <v>#VALUE!</v>
      </c>
      <c r="G113" s="328" t="e">
        <f>B113/Stoff!$G113</f>
        <v>#VALUE!</v>
      </c>
      <c r="H113" s="328" t="e">
        <f>C113/Stoff!$G113</f>
        <v>#VALUE!</v>
      </c>
      <c r="I113" s="328" t="e">
        <f>D113/Stoff!$G113</f>
        <v>#VALUE!</v>
      </c>
      <c r="J113" s="328" t="e">
        <f>E113/Stoff!$G113</f>
        <v>#VALUE!</v>
      </c>
      <c r="K113" s="328" t="e">
        <f>IF(F113=Mellomregninger!AE113,Mellomregninger!V113,Mellomregninger!AH113)</f>
        <v>#VALUE!</v>
      </c>
      <c r="L113" s="319" t="e">
        <f>F113/Stoff!$G113</f>
        <v>#VALUE!</v>
      </c>
    </row>
    <row r="114" spans="1:12" x14ac:dyDescent="0.35">
      <c r="A114" s="301" t="str">
        <f>Stoff!A114</f>
        <v>nystoff 28</v>
      </c>
      <c r="B114" s="318" t="e">
        <f>Mellomregninger!L114</f>
        <v>#VALUE!</v>
      </c>
      <c r="C114" s="318" t="e">
        <f>Mellomregninger!BC114</f>
        <v>#VALUE!</v>
      </c>
      <c r="D114" s="318" t="e">
        <f>Mellomregninger!BO114</f>
        <v>#VALUE!</v>
      </c>
      <c r="E114" s="318" t="e">
        <f>Mellomregninger!CA114</f>
        <v>#VALUE!</v>
      </c>
      <c r="F114" s="327" t="e">
        <f>IF(ISNUMBER(Mellomregninger!AQ114),IF(Mellomregninger!AQ114&gt;Mellomregninger!AE114,Mellomregninger!AQ114,Mellomregninger!AE114),Mellomregninger!AE114)</f>
        <v>#VALUE!</v>
      </c>
      <c r="G114" s="328" t="e">
        <f>B114/Stoff!$G114</f>
        <v>#VALUE!</v>
      </c>
      <c r="H114" s="328" t="e">
        <f>C114/Stoff!$G114</f>
        <v>#VALUE!</v>
      </c>
      <c r="I114" s="328" t="e">
        <f>D114/Stoff!$G114</f>
        <v>#VALUE!</v>
      </c>
      <c r="J114" s="328" t="e">
        <f>E114/Stoff!$G114</f>
        <v>#VALUE!</v>
      </c>
      <c r="K114" s="328" t="e">
        <f>IF(F114=Mellomregninger!AE114,Mellomregninger!V114,Mellomregninger!AH114)</f>
        <v>#VALUE!</v>
      </c>
      <c r="L114" s="319" t="e">
        <f>F114/Stoff!$G114</f>
        <v>#VALUE!</v>
      </c>
    </row>
  </sheetData>
  <sheetProtection sheet="1" objects="1" scenarios="1" selectLockedCells="1"/>
  <conditionalFormatting sqref="A87:A114">
    <cfRule type="cellIs" dxfId="32" priority="5" stopIfTrue="1" operator="equal">
      <formula>""</formula>
    </cfRule>
  </conditionalFormatting>
  <conditionalFormatting sqref="A1:L3 B4:L86 A87:L1048576">
    <cfRule type="containsErrors" dxfId="31" priority="3">
      <formula>ISERROR(A1)</formula>
    </cfRule>
  </conditionalFormatting>
  <conditionalFormatting sqref="A4:A86">
    <cfRule type="containsErrors" dxfId="30" priority="1">
      <formula>ISERROR(A4)</formula>
    </cfRule>
  </conditionalFormatting>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99"/>
  </sheetPr>
  <dimension ref="A1:R114"/>
  <sheetViews>
    <sheetView workbookViewId="0">
      <pane xSplit="1" ySplit="2" topLeftCell="B3" activePane="bottomRight" state="frozen"/>
      <selection pane="topRight" activeCell="B1" sqref="B1"/>
      <selection pane="bottomLeft" activeCell="A3" sqref="A3"/>
      <selection pane="bottomRight" sqref="A1:R114"/>
    </sheetView>
  </sheetViews>
  <sheetFormatPr baseColWidth="10" defaultColWidth="11.453125" defaultRowHeight="14.5" x14ac:dyDescent="0.35"/>
  <cols>
    <col min="1" max="1" width="20" style="46" bestFit="1" customWidth="1"/>
    <col min="2" max="5" width="11.453125" style="90"/>
    <col min="6" max="6" width="13" style="90" bestFit="1" customWidth="1"/>
    <col min="7" max="10" width="11.453125" style="90"/>
    <col min="11" max="11" width="13.54296875" style="90" bestFit="1" customWidth="1"/>
    <col min="12" max="13" width="11.453125" style="90"/>
    <col min="14" max="14" width="16.7265625" style="90" bestFit="1" customWidth="1"/>
    <col min="15" max="15" width="20.26953125" style="90" bestFit="1" customWidth="1"/>
    <col min="16" max="16" width="19.26953125" style="90" bestFit="1" customWidth="1"/>
    <col min="17" max="17" width="16.7265625" style="90" bestFit="1" customWidth="1"/>
    <col min="18" max="18" width="18.1796875" style="90" bestFit="1" customWidth="1"/>
  </cols>
  <sheetData>
    <row r="1" spans="1:18" x14ac:dyDescent="0.35">
      <c r="A1" s="257" t="s">
        <v>211</v>
      </c>
      <c r="B1" s="310" t="s">
        <v>8</v>
      </c>
      <c r="C1" s="310" t="s">
        <v>8</v>
      </c>
      <c r="D1" s="310" t="s">
        <v>8</v>
      </c>
      <c r="E1" s="310" t="s">
        <v>8</v>
      </c>
      <c r="F1" s="310" t="s">
        <v>8</v>
      </c>
      <c r="G1" s="310" t="s">
        <v>8</v>
      </c>
      <c r="H1" s="310" t="s">
        <v>8</v>
      </c>
      <c r="I1" s="310" t="s">
        <v>8</v>
      </c>
      <c r="J1" s="310" t="s">
        <v>8</v>
      </c>
      <c r="K1" s="310" t="s">
        <v>8</v>
      </c>
      <c r="L1" s="310" t="s">
        <v>8</v>
      </c>
      <c r="M1" s="310" t="s">
        <v>8</v>
      </c>
      <c r="N1" s="310" t="s">
        <v>8</v>
      </c>
      <c r="O1" s="310" t="s">
        <v>8</v>
      </c>
      <c r="P1" s="310" t="s">
        <v>8</v>
      </c>
      <c r="Q1" s="310" t="s">
        <v>8</v>
      </c>
      <c r="R1" s="310" t="s">
        <v>8</v>
      </c>
    </row>
    <row r="2" spans="1:18" ht="72.5" x14ac:dyDescent="0.35">
      <c r="A2" s="257"/>
      <c r="B2" s="311" t="s">
        <v>591</v>
      </c>
      <c r="C2" s="311" t="s">
        <v>592</v>
      </c>
      <c r="D2" s="311" t="s">
        <v>748</v>
      </c>
      <c r="E2" s="311" t="s">
        <v>593</v>
      </c>
      <c r="F2" s="311" t="s">
        <v>594</v>
      </c>
      <c r="G2" s="312" t="s">
        <v>684</v>
      </c>
      <c r="H2" s="312" t="s">
        <v>578</v>
      </c>
      <c r="I2" s="312" t="s">
        <v>579</v>
      </c>
      <c r="J2" s="312" t="s">
        <v>580</v>
      </c>
      <c r="K2" s="313" t="s">
        <v>685</v>
      </c>
      <c r="L2" s="314" t="s">
        <v>581</v>
      </c>
      <c r="M2" s="315" t="s">
        <v>686</v>
      </c>
      <c r="N2" s="315" t="s">
        <v>582</v>
      </c>
      <c r="O2" s="315" t="s">
        <v>583</v>
      </c>
      <c r="P2" s="315" t="s">
        <v>584</v>
      </c>
      <c r="Q2" s="315" t="s">
        <v>585</v>
      </c>
      <c r="R2" s="315" t="s">
        <v>687</v>
      </c>
    </row>
    <row r="3" spans="1:18" x14ac:dyDescent="0.35">
      <c r="A3" s="257"/>
      <c r="B3" s="316"/>
      <c r="C3" s="316"/>
      <c r="D3" s="316"/>
      <c r="E3" s="316"/>
      <c r="F3" s="316"/>
      <c r="G3" s="316"/>
      <c r="H3" s="316"/>
      <c r="I3" s="316"/>
      <c r="J3" s="316"/>
      <c r="K3" s="316"/>
      <c r="L3" s="316"/>
      <c r="M3" s="316"/>
      <c r="N3" s="316"/>
      <c r="O3" s="316"/>
      <c r="P3" s="316"/>
      <c r="Q3" s="316"/>
      <c r="R3" s="316"/>
    </row>
    <row r="4" spans="1:18" x14ac:dyDescent="0.35">
      <c r="A4" s="239" t="s">
        <v>207</v>
      </c>
      <c r="B4" s="317" t="str">
        <f>IF(Mellomregninger!B4="","",IF(ISNUMBER('1f. Kons. resipient'!E4),'1f. Kons. resipient'!E4*1000,0))</f>
        <v/>
      </c>
      <c r="C4" s="317" t="e">
        <f>Mellomregninger!DJ4</f>
        <v>#VALUE!</v>
      </c>
      <c r="D4" s="317" t="e">
        <f>Mellomregninger!DV4</f>
        <v>#VALUE!</v>
      </c>
      <c r="E4" s="317" t="e">
        <f>Mellomregninger!EH4</f>
        <v>#VALUE!</v>
      </c>
      <c r="F4" s="317" t="e">
        <f>Mellomregninger!EV4</f>
        <v>#VALUE!</v>
      </c>
      <c r="G4" s="318" t="e">
        <f>B4/Stoff!$G4</f>
        <v>#VALUE!</v>
      </c>
      <c r="H4" s="318" t="e">
        <f>C4/Stoff!$G4</f>
        <v>#VALUE!</v>
      </c>
      <c r="I4" s="318" t="e">
        <f>D4/Stoff!$G4</f>
        <v>#VALUE!</v>
      </c>
      <c r="J4" s="318" t="e">
        <f>E4/Stoff!$G4</f>
        <v>#VALUE!</v>
      </c>
      <c r="K4" s="319" t="e">
        <f>Mellomregninger!EW4</f>
        <v>#VALUE!</v>
      </c>
      <c r="L4" s="318" t="e">
        <f>F4/Stoff!$G4</f>
        <v>#VALUE!</v>
      </c>
      <c r="M4" s="318" t="str">
        <f>IF(Mellomregninger!B4="","",Mellomregninger!S4)</f>
        <v/>
      </c>
      <c r="N4" s="320" t="e">
        <f>Mellomregninger!DC4+Mellomregninger!DK4</f>
        <v>#VALUE!</v>
      </c>
      <c r="O4" s="318" t="e">
        <f>Mellomregninger!DO4+Mellomregninger!DW4</f>
        <v>#VALUE!</v>
      </c>
      <c r="P4" s="318" t="e">
        <f>Mellomregninger!EA4+Mellomregninger!EI4</f>
        <v>#VALUE!</v>
      </c>
      <c r="Q4" s="318" t="e">
        <f>Mellomregninger!EX4</f>
        <v>#VALUE!</v>
      </c>
      <c r="R4" s="318" t="e">
        <f>Mellomregninger!EM4+Mellomregninger!EP4</f>
        <v>#VALUE!</v>
      </c>
    </row>
    <row r="5" spans="1:18" x14ac:dyDescent="0.35">
      <c r="A5" s="239" t="s">
        <v>206</v>
      </c>
      <c r="B5" s="317" t="str">
        <f>IF(Mellomregninger!B5="","",IF(ISNUMBER('1f. Kons. resipient'!E5),'1f. Kons. resipient'!E5*1000,0))</f>
        <v/>
      </c>
      <c r="C5" s="317" t="e">
        <f>Mellomregninger!DJ5</f>
        <v>#VALUE!</v>
      </c>
      <c r="D5" s="317" t="e">
        <f>Mellomregninger!DV5</f>
        <v>#VALUE!</v>
      </c>
      <c r="E5" s="317" t="e">
        <f>Mellomregninger!EH5</f>
        <v>#VALUE!</v>
      </c>
      <c r="F5" s="317" t="e">
        <f>Mellomregninger!EV5</f>
        <v>#VALUE!</v>
      </c>
      <c r="G5" s="318" t="e">
        <f>B5/Stoff!$G5</f>
        <v>#VALUE!</v>
      </c>
      <c r="H5" s="318" t="e">
        <f>C5/Stoff!$G5</f>
        <v>#VALUE!</v>
      </c>
      <c r="I5" s="318" t="e">
        <f>D5/Stoff!$G5</f>
        <v>#VALUE!</v>
      </c>
      <c r="J5" s="318" t="e">
        <f>E5/Stoff!$G5</f>
        <v>#VALUE!</v>
      </c>
      <c r="K5" s="319" t="e">
        <f>Mellomregninger!EW5</f>
        <v>#VALUE!</v>
      </c>
      <c r="L5" s="318" t="e">
        <f>F5/Stoff!$G5</f>
        <v>#VALUE!</v>
      </c>
      <c r="M5" s="318" t="str">
        <f>IF(Mellomregninger!B5="","",Mellomregninger!S5)</f>
        <v/>
      </c>
      <c r="N5" s="320" t="e">
        <f>Mellomregninger!DC5+Mellomregninger!DK5</f>
        <v>#VALUE!</v>
      </c>
      <c r="O5" s="318" t="e">
        <f>Mellomregninger!DO5+Mellomregninger!DW5</f>
        <v>#VALUE!</v>
      </c>
      <c r="P5" s="318" t="e">
        <f>Mellomregninger!EA5+Mellomregninger!EI5</f>
        <v>#VALUE!</v>
      </c>
      <c r="Q5" s="318" t="e">
        <f>Mellomregninger!EX5</f>
        <v>#VALUE!</v>
      </c>
      <c r="R5" s="318" t="e">
        <f>Mellomregninger!EM5+Mellomregninger!EP5</f>
        <v>#VALUE!</v>
      </c>
    </row>
    <row r="6" spans="1:18" x14ac:dyDescent="0.35">
      <c r="A6" s="239" t="s">
        <v>205</v>
      </c>
      <c r="B6" s="317" t="str">
        <f>IF(Mellomregninger!B6="","",IF(ISNUMBER('1f. Kons. resipient'!E6),'1f. Kons. resipient'!E6*1000,0))</f>
        <v/>
      </c>
      <c r="C6" s="317" t="e">
        <f>Mellomregninger!DJ6</f>
        <v>#VALUE!</v>
      </c>
      <c r="D6" s="317" t="e">
        <f>Mellomregninger!DV6</f>
        <v>#VALUE!</v>
      </c>
      <c r="E6" s="317" t="e">
        <f>Mellomregninger!EH6</f>
        <v>#VALUE!</v>
      </c>
      <c r="F6" s="317" t="e">
        <f>Mellomregninger!EV6</f>
        <v>#VALUE!</v>
      </c>
      <c r="G6" s="318" t="e">
        <f>B6/Stoff!$G6</f>
        <v>#VALUE!</v>
      </c>
      <c r="H6" s="318" t="e">
        <f>C6/Stoff!$G6</f>
        <v>#VALUE!</v>
      </c>
      <c r="I6" s="318" t="e">
        <f>D6/Stoff!$G6</f>
        <v>#VALUE!</v>
      </c>
      <c r="J6" s="318" t="e">
        <f>E6/Stoff!$G6</f>
        <v>#VALUE!</v>
      </c>
      <c r="K6" s="319" t="e">
        <f>Mellomregninger!EW6</f>
        <v>#VALUE!</v>
      </c>
      <c r="L6" s="318" t="e">
        <f>F6/Stoff!$G6</f>
        <v>#VALUE!</v>
      </c>
      <c r="M6" s="318" t="str">
        <f>IF(Mellomregninger!B6="","",Mellomregninger!S6)</f>
        <v/>
      </c>
      <c r="N6" s="320" t="e">
        <f>Mellomregninger!DC6+Mellomregninger!DK6</f>
        <v>#VALUE!</v>
      </c>
      <c r="O6" s="318" t="e">
        <f>Mellomregninger!DO6+Mellomregninger!DW6</f>
        <v>#VALUE!</v>
      </c>
      <c r="P6" s="318" t="e">
        <f>Mellomregninger!EA6+Mellomregninger!EI6</f>
        <v>#VALUE!</v>
      </c>
      <c r="Q6" s="318" t="e">
        <f>Mellomregninger!EX6</f>
        <v>#VALUE!</v>
      </c>
      <c r="R6" s="318" t="e">
        <f>Mellomregninger!EM6+Mellomregninger!EP6</f>
        <v>#VALUE!</v>
      </c>
    </row>
    <row r="7" spans="1:18" x14ac:dyDescent="0.35">
      <c r="A7" s="239" t="s">
        <v>204</v>
      </c>
      <c r="B7" s="317" t="str">
        <f>IF(Mellomregninger!B7="","",IF(ISNUMBER('1f. Kons. resipient'!E7),'1f. Kons. resipient'!E7*1000,0))</f>
        <v/>
      </c>
      <c r="C7" s="317" t="e">
        <f>Mellomregninger!DJ7</f>
        <v>#VALUE!</v>
      </c>
      <c r="D7" s="317" t="e">
        <f>Mellomregninger!DV7</f>
        <v>#VALUE!</v>
      </c>
      <c r="E7" s="317" t="e">
        <f>Mellomregninger!EH7</f>
        <v>#VALUE!</v>
      </c>
      <c r="F7" s="317" t="e">
        <f>Mellomregninger!EV7</f>
        <v>#VALUE!</v>
      </c>
      <c r="G7" s="318" t="e">
        <f>B7/Stoff!$G7</f>
        <v>#VALUE!</v>
      </c>
      <c r="H7" s="318" t="e">
        <f>C7/Stoff!$G7</f>
        <v>#VALUE!</v>
      </c>
      <c r="I7" s="318" t="e">
        <f>D7/Stoff!$G7</f>
        <v>#VALUE!</v>
      </c>
      <c r="J7" s="318" t="e">
        <f>E7/Stoff!$G7</f>
        <v>#VALUE!</v>
      </c>
      <c r="K7" s="319" t="e">
        <f>Mellomregninger!EW7</f>
        <v>#VALUE!</v>
      </c>
      <c r="L7" s="318" t="e">
        <f>F7/Stoff!$G7</f>
        <v>#VALUE!</v>
      </c>
      <c r="M7" s="318" t="str">
        <f>IF(Mellomregninger!B7="","",Mellomregninger!S7)</f>
        <v/>
      </c>
      <c r="N7" s="320" t="e">
        <f>Mellomregninger!DC7+Mellomregninger!DK7</f>
        <v>#VALUE!</v>
      </c>
      <c r="O7" s="318" t="e">
        <f>Mellomregninger!DO7+Mellomregninger!DW7</f>
        <v>#VALUE!</v>
      </c>
      <c r="P7" s="318" t="e">
        <f>Mellomregninger!EA7+Mellomregninger!EI7</f>
        <v>#VALUE!</v>
      </c>
      <c r="Q7" s="318" t="e">
        <f>Mellomregninger!EX7</f>
        <v>#VALUE!</v>
      </c>
      <c r="R7" s="318" t="e">
        <f>Mellomregninger!EM7+Mellomregninger!EP7</f>
        <v>#VALUE!</v>
      </c>
    </row>
    <row r="8" spans="1:18" x14ac:dyDescent="0.35">
      <c r="A8" s="239" t="s">
        <v>203</v>
      </c>
      <c r="B8" s="317" t="str">
        <f>IF(Mellomregninger!B8="","",IF(ISNUMBER('1f. Kons. resipient'!E8),'1f. Kons. resipient'!E8*1000,0))</f>
        <v/>
      </c>
      <c r="C8" s="317" t="e">
        <f>Mellomregninger!DJ8</f>
        <v>#VALUE!</v>
      </c>
      <c r="D8" s="317" t="e">
        <f>Mellomregninger!DV8</f>
        <v>#VALUE!</v>
      </c>
      <c r="E8" s="317" t="e">
        <f>Mellomregninger!EH8</f>
        <v>#VALUE!</v>
      </c>
      <c r="F8" s="317" t="e">
        <f>Mellomregninger!EV8</f>
        <v>#VALUE!</v>
      </c>
      <c r="G8" s="318" t="e">
        <f>B8/Stoff!$G8</f>
        <v>#VALUE!</v>
      </c>
      <c r="H8" s="318" t="e">
        <f>C8/Stoff!$G8</f>
        <v>#VALUE!</v>
      </c>
      <c r="I8" s="318" t="e">
        <f>D8/Stoff!$G8</f>
        <v>#VALUE!</v>
      </c>
      <c r="J8" s="318" t="e">
        <f>E8/Stoff!$G8</f>
        <v>#VALUE!</v>
      </c>
      <c r="K8" s="319" t="e">
        <f>Mellomregninger!EW8</f>
        <v>#VALUE!</v>
      </c>
      <c r="L8" s="318" t="e">
        <f>F8/Stoff!$G8</f>
        <v>#VALUE!</v>
      </c>
      <c r="M8" s="318" t="str">
        <f>IF(Mellomregninger!B8="","",Mellomregninger!S8)</f>
        <v/>
      </c>
      <c r="N8" s="320" t="e">
        <f>Mellomregninger!DC8+Mellomregninger!DK8</f>
        <v>#VALUE!</v>
      </c>
      <c r="O8" s="318" t="e">
        <f>Mellomregninger!DO8+Mellomregninger!DW8</f>
        <v>#VALUE!</v>
      </c>
      <c r="P8" s="318" t="e">
        <f>Mellomregninger!EA8+Mellomregninger!EI8</f>
        <v>#VALUE!</v>
      </c>
      <c r="Q8" s="318" t="e">
        <f>Mellomregninger!EX8</f>
        <v>#VALUE!</v>
      </c>
      <c r="R8" s="318" t="e">
        <f>Mellomregninger!EM8+Mellomregninger!EP8</f>
        <v>#VALUE!</v>
      </c>
    </row>
    <row r="9" spans="1:18" x14ac:dyDescent="0.35">
      <c r="A9" s="239" t="s">
        <v>202</v>
      </c>
      <c r="B9" s="317" t="str">
        <f>IF(Mellomregninger!B9="","",IF(ISNUMBER('1f. Kons. resipient'!E9),'1f. Kons. resipient'!E9*1000,0))</f>
        <v/>
      </c>
      <c r="C9" s="317" t="e">
        <f>Mellomregninger!DJ9</f>
        <v>#VALUE!</v>
      </c>
      <c r="D9" s="317" t="e">
        <f>Mellomregninger!DV9</f>
        <v>#VALUE!</v>
      </c>
      <c r="E9" s="317" t="e">
        <f>Mellomregninger!EH9</f>
        <v>#VALUE!</v>
      </c>
      <c r="F9" s="317" t="e">
        <f>Mellomregninger!EV9</f>
        <v>#VALUE!</v>
      </c>
      <c r="G9" s="318" t="e">
        <f>B9/Stoff!$G9</f>
        <v>#VALUE!</v>
      </c>
      <c r="H9" s="318" t="e">
        <f>C9/Stoff!$G9</f>
        <v>#VALUE!</v>
      </c>
      <c r="I9" s="318" t="e">
        <f>D9/Stoff!$G9</f>
        <v>#VALUE!</v>
      </c>
      <c r="J9" s="318" t="e">
        <f>E9/Stoff!$G9</f>
        <v>#VALUE!</v>
      </c>
      <c r="K9" s="319" t="e">
        <f>Mellomregninger!EW9</f>
        <v>#VALUE!</v>
      </c>
      <c r="L9" s="318" t="e">
        <f>F9/Stoff!$G9</f>
        <v>#VALUE!</v>
      </c>
      <c r="M9" s="318" t="str">
        <f>IF(Mellomregninger!B9="","",Mellomregninger!S9)</f>
        <v/>
      </c>
      <c r="N9" s="320" t="e">
        <f>Mellomregninger!DC9+Mellomregninger!DK9</f>
        <v>#VALUE!</v>
      </c>
      <c r="O9" s="318" t="e">
        <f>Mellomregninger!DO9+Mellomregninger!DW9</f>
        <v>#VALUE!</v>
      </c>
      <c r="P9" s="318" t="e">
        <f>Mellomregninger!EA9+Mellomregninger!EI9</f>
        <v>#VALUE!</v>
      </c>
      <c r="Q9" s="318" t="e">
        <f>Mellomregninger!EX9</f>
        <v>#VALUE!</v>
      </c>
      <c r="R9" s="318" t="e">
        <f>Mellomregninger!EM9+Mellomregninger!EP9</f>
        <v>#VALUE!</v>
      </c>
    </row>
    <row r="10" spans="1:18" x14ac:dyDescent="0.35">
      <c r="A10" s="239" t="s">
        <v>201</v>
      </c>
      <c r="B10" s="317" t="str">
        <f>IF(Mellomregninger!B10="","",IF(ISNUMBER('1f. Kons. resipient'!E10),'1f. Kons. resipient'!E10*1000,0))</f>
        <v/>
      </c>
      <c r="C10" s="317" t="e">
        <f>Mellomregninger!DJ10</f>
        <v>#VALUE!</v>
      </c>
      <c r="D10" s="317" t="e">
        <f>Mellomregninger!DV10</f>
        <v>#VALUE!</v>
      </c>
      <c r="E10" s="317" t="e">
        <f>Mellomregninger!EH10</f>
        <v>#VALUE!</v>
      </c>
      <c r="F10" s="317" t="e">
        <f>Mellomregninger!EV10</f>
        <v>#VALUE!</v>
      </c>
      <c r="G10" s="318" t="e">
        <f>B10/Stoff!$G10</f>
        <v>#VALUE!</v>
      </c>
      <c r="H10" s="318" t="e">
        <f>C10/Stoff!$G10</f>
        <v>#VALUE!</v>
      </c>
      <c r="I10" s="318" t="e">
        <f>D10/Stoff!$G10</f>
        <v>#VALUE!</v>
      </c>
      <c r="J10" s="318" t="e">
        <f>E10/Stoff!$G10</f>
        <v>#VALUE!</v>
      </c>
      <c r="K10" s="319" t="e">
        <f>Mellomregninger!EW10</f>
        <v>#VALUE!</v>
      </c>
      <c r="L10" s="318" t="e">
        <f>F10/Stoff!$G10</f>
        <v>#VALUE!</v>
      </c>
      <c r="M10" s="318" t="str">
        <f>IF(Mellomregninger!B10="","",Mellomregninger!S10)</f>
        <v/>
      </c>
      <c r="N10" s="320" t="e">
        <f>Mellomregninger!DC10+Mellomregninger!DK10</f>
        <v>#VALUE!</v>
      </c>
      <c r="O10" s="318" t="e">
        <f>Mellomregninger!DO10+Mellomregninger!DW10</f>
        <v>#VALUE!</v>
      </c>
      <c r="P10" s="318" t="e">
        <f>Mellomregninger!EA10+Mellomregninger!EI10</f>
        <v>#VALUE!</v>
      </c>
      <c r="Q10" s="318" t="e">
        <f>Mellomregninger!EX10</f>
        <v>#VALUE!</v>
      </c>
      <c r="R10" s="318" t="e">
        <f>Mellomregninger!EM10+Mellomregninger!EP10</f>
        <v>#VALUE!</v>
      </c>
    </row>
    <row r="11" spans="1:18" x14ac:dyDescent="0.35">
      <c r="A11" s="239" t="s">
        <v>200</v>
      </c>
      <c r="B11" s="317" t="str">
        <f>IF(Mellomregninger!B11="","",IF(ISNUMBER('1f. Kons. resipient'!E11),'1f. Kons. resipient'!E11*1000,0))</f>
        <v/>
      </c>
      <c r="C11" s="317" t="e">
        <f>Mellomregninger!DJ11</f>
        <v>#VALUE!</v>
      </c>
      <c r="D11" s="317" t="e">
        <f>Mellomregninger!DV11</f>
        <v>#VALUE!</v>
      </c>
      <c r="E11" s="317" t="e">
        <f>Mellomregninger!EH11</f>
        <v>#VALUE!</v>
      </c>
      <c r="F11" s="317" t="e">
        <f>Mellomregninger!EV11</f>
        <v>#VALUE!</v>
      </c>
      <c r="G11" s="318" t="e">
        <f>B11/Stoff!$G11</f>
        <v>#VALUE!</v>
      </c>
      <c r="H11" s="318" t="e">
        <f>C11/Stoff!$G11</f>
        <v>#VALUE!</v>
      </c>
      <c r="I11" s="318" t="e">
        <f>D11/Stoff!$G11</f>
        <v>#VALUE!</v>
      </c>
      <c r="J11" s="318" t="e">
        <f>E11/Stoff!$G11</f>
        <v>#VALUE!</v>
      </c>
      <c r="K11" s="319" t="e">
        <f>Mellomregninger!EW11</f>
        <v>#VALUE!</v>
      </c>
      <c r="L11" s="318" t="e">
        <f>F11/Stoff!$G11</f>
        <v>#VALUE!</v>
      </c>
      <c r="M11" s="318" t="str">
        <f>IF(Mellomregninger!B11="","",Mellomregninger!S11)</f>
        <v/>
      </c>
      <c r="N11" s="320" t="e">
        <f>Mellomregninger!DC11+Mellomregninger!DK11</f>
        <v>#VALUE!</v>
      </c>
      <c r="O11" s="318" t="e">
        <f>Mellomregninger!DO11+Mellomregninger!DW11</f>
        <v>#VALUE!</v>
      </c>
      <c r="P11" s="318" t="e">
        <f>Mellomregninger!EA11+Mellomregninger!EI11</f>
        <v>#VALUE!</v>
      </c>
      <c r="Q11" s="318" t="e">
        <f>Mellomregninger!EX11</f>
        <v>#VALUE!</v>
      </c>
      <c r="R11" s="318" t="e">
        <f>Mellomregninger!EM11+Mellomregninger!EP11</f>
        <v>#VALUE!</v>
      </c>
    </row>
    <row r="12" spans="1:18" x14ac:dyDescent="0.35">
      <c r="A12" s="239" t="s">
        <v>199</v>
      </c>
      <c r="B12" s="317" t="str">
        <f>IF(Mellomregninger!B12="","",IF(ISNUMBER('1f. Kons. resipient'!E12),'1f. Kons. resipient'!E12*1000,0))</f>
        <v/>
      </c>
      <c r="C12" s="317" t="e">
        <f>Mellomregninger!DJ12</f>
        <v>#VALUE!</v>
      </c>
      <c r="D12" s="317" t="e">
        <f>Mellomregninger!DV12</f>
        <v>#VALUE!</v>
      </c>
      <c r="E12" s="317" t="e">
        <f>Mellomregninger!EH12</f>
        <v>#VALUE!</v>
      </c>
      <c r="F12" s="317" t="e">
        <f>Mellomregninger!EV12</f>
        <v>#VALUE!</v>
      </c>
      <c r="G12" s="318" t="e">
        <f>B12/Stoff!$G12</f>
        <v>#VALUE!</v>
      </c>
      <c r="H12" s="318" t="e">
        <f>C12/Stoff!$G12</f>
        <v>#VALUE!</v>
      </c>
      <c r="I12" s="318" t="e">
        <f>D12/Stoff!$G12</f>
        <v>#VALUE!</v>
      </c>
      <c r="J12" s="318" t="e">
        <f>E12/Stoff!$G12</f>
        <v>#VALUE!</v>
      </c>
      <c r="K12" s="319" t="e">
        <f>Mellomregninger!EW12</f>
        <v>#VALUE!</v>
      </c>
      <c r="L12" s="318" t="e">
        <f>F12/Stoff!$G12</f>
        <v>#VALUE!</v>
      </c>
      <c r="M12" s="318" t="str">
        <f>IF(Mellomregninger!B12="","",Mellomregninger!S12)</f>
        <v/>
      </c>
      <c r="N12" s="320" t="e">
        <f>Mellomregninger!DC12+Mellomregninger!DK12</f>
        <v>#VALUE!</v>
      </c>
      <c r="O12" s="318" t="e">
        <f>Mellomregninger!DO12+Mellomregninger!DW12</f>
        <v>#VALUE!</v>
      </c>
      <c r="P12" s="318" t="e">
        <f>Mellomregninger!EA12+Mellomregninger!EI12</f>
        <v>#VALUE!</v>
      </c>
      <c r="Q12" s="318" t="e">
        <f>Mellomregninger!EX12</f>
        <v>#VALUE!</v>
      </c>
      <c r="R12" s="318" t="e">
        <f>Mellomregninger!EM12+Mellomregninger!EP12</f>
        <v>#VALUE!</v>
      </c>
    </row>
    <row r="13" spans="1:18" x14ac:dyDescent="0.35">
      <c r="A13" s="239" t="s">
        <v>198</v>
      </c>
      <c r="B13" s="317" t="str">
        <f>IF(Mellomregninger!B13="","",IF(ISNUMBER('1f. Kons. resipient'!E13),'1f. Kons. resipient'!E13*1000,0))</f>
        <v/>
      </c>
      <c r="C13" s="317" t="e">
        <f>Mellomregninger!DJ13</f>
        <v>#VALUE!</v>
      </c>
      <c r="D13" s="317" t="e">
        <f>Mellomregninger!DV13</f>
        <v>#VALUE!</v>
      </c>
      <c r="E13" s="317" t="e">
        <f>Mellomregninger!EH13</f>
        <v>#VALUE!</v>
      </c>
      <c r="F13" s="317" t="e">
        <f>Mellomregninger!EV13</f>
        <v>#VALUE!</v>
      </c>
      <c r="G13" s="318" t="e">
        <f>B13/Stoff!$G13</f>
        <v>#VALUE!</v>
      </c>
      <c r="H13" s="318" t="e">
        <f>C13/Stoff!$G13</f>
        <v>#VALUE!</v>
      </c>
      <c r="I13" s="318" t="e">
        <f>D13/Stoff!$G13</f>
        <v>#VALUE!</v>
      </c>
      <c r="J13" s="318" t="e">
        <f>E13/Stoff!$G13</f>
        <v>#VALUE!</v>
      </c>
      <c r="K13" s="319" t="e">
        <f>Mellomregninger!EW13</f>
        <v>#VALUE!</v>
      </c>
      <c r="L13" s="318" t="e">
        <f>F13/Stoff!$G13</f>
        <v>#VALUE!</v>
      </c>
      <c r="M13" s="318" t="str">
        <f>IF(Mellomregninger!B13="","",Mellomregninger!S13)</f>
        <v/>
      </c>
      <c r="N13" s="320" t="e">
        <f>Mellomregninger!DC13+Mellomregninger!DK13</f>
        <v>#VALUE!</v>
      </c>
      <c r="O13" s="318" t="e">
        <f>Mellomregninger!DO13+Mellomregninger!DW13</f>
        <v>#VALUE!</v>
      </c>
      <c r="P13" s="318" t="e">
        <f>Mellomregninger!EA13+Mellomregninger!EI13</f>
        <v>#VALUE!</v>
      </c>
      <c r="Q13" s="318" t="e">
        <f>Mellomregninger!EX13</f>
        <v>#VALUE!</v>
      </c>
      <c r="R13" s="318" t="e">
        <f>Mellomregninger!EM13+Mellomregninger!EP13</f>
        <v>#VALUE!</v>
      </c>
    </row>
    <row r="14" spans="1:18" x14ac:dyDescent="0.35">
      <c r="A14" s="239" t="s">
        <v>197</v>
      </c>
      <c r="B14" s="317" t="str">
        <f>IF(Mellomregninger!B14="","",IF(ISNUMBER('1f. Kons. resipient'!E14),'1f. Kons. resipient'!E14*1000,0))</f>
        <v/>
      </c>
      <c r="C14" s="317" t="e">
        <f>Mellomregninger!DJ14</f>
        <v>#VALUE!</v>
      </c>
      <c r="D14" s="317" t="e">
        <f>Mellomregninger!DV14</f>
        <v>#VALUE!</v>
      </c>
      <c r="E14" s="317" t="e">
        <f>Mellomregninger!EH14</f>
        <v>#VALUE!</v>
      </c>
      <c r="F14" s="317" t="e">
        <f>Mellomregninger!EV14</f>
        <v>#VALUE!</v>
      </c>
      <c r="G14" s="318" t="e">
        <f>B14/Stoff!$G14</f>
        <v>#VALUE!</v>
      </c>
      <c r="H14" s="318" t="e">
        <f>C14/Stoff!$G14</f>
        <v>#VALUE!</v>
      </c>
      <c r="I14" s="318" t="e">
        <f>D14/Stoff!$G14</f>
        <v>#VALUE!</v>
      </c>
      <c r="J14" s="318" t="e">
        <f>E14/Stoff!$G14</f>
        <v>#VALUE!</v>
      </c>
      <c r="K14" s="319" t="e">
        <f>Mellomregninger!EW14</f>
        <v>#VALUE!</v>
      </c>
      <c r="L14" s="318" t="e">
        <f>F14/Stoff!$G14</f>
        <v>#VALUE!</v>
      </c>
      <c r="M14" s="318" t="str">
        <f>IF(Mellomregninger!B14="","",Mellomregninger!S14)</f>
        <v/>
      </c>
      <c r="N14" s="320" t="e">
        <f>Mellomregninger!DC14+Mellomregninger!DK14</f>
        <v>#VALUE!</v>
      </c>
      <c r="O14" s="318" t="e">
        <f>Mellomregninger!DO14+Mellomregninger!DW14</f>
        <v>#VALUE!</v>
      </c>
      <c r="P14" s="318" t="e">
        <f>Mellomregninger!EA14+Mellomregninger!EI14</f>
        <v>#VALUE!</v>
      </c>
      <c r="Q14" s="318" t="e">
        <f>Mellomregninger!EX14</f>
        <v>#VALUE!</v>
      </c>
      <c r="R14" s="318" t="e">
        <f>Mellomregninger!EM14+Mellomregninger!EP14</f>
        <v>#VALUE!</v>
      </c>
    </row>
    <row r="15" spans="1:18" x14ac:dyDescent="0.35">
      <c r="A15" s="239" t="s">
        <v>195</v>
      </c>
      <c r="B15" s="317" t="str">
        <f>IF(Mellomregninger!B15="","",IF(ISNUMBER('1f. Kons. resipient'!E15),'1f. Kons. resipient'!E15*1000,0))</f>
        <v/>
      </c>
      <c r="C15" s="317" t="e">
        <f>Mellomregninger!DJ15</f>
        <v>#VALUE!</v>
      </c>
      <c r="D15" s="317" t="e">
        <f>Mellomregninger!DV15</f>
        <v>#VALUE!</v>
      </c>
      <c r="E15" s="317" t="e">
        <f>Mellomregninger!EH15</f>
        <v>#VALUE!</v>
      </c>
      <c r="F15" s="317" t="e">
        <f>Mellomregninger!EV15</f>
        <v>#VALUE!</v>
      </c>
      <c r="G15" s="318" t="e">
        <f>B15/Stoff!$G15</f>
        <v>#VALUE!</v>
      </c>
      <c r="H15" s="318" t="e">
        <f>C15/Stoff!$G15</f>
        <v>#VALUE!</v>
      </c>
      <c r="I15" s="318" t="e">
        <f>D15/Stoff!$G15</f>
        <v>#VALUE!</v>
      </c>
      <c r="J15" s="318" t="e">
        <f>E15/Stoff!$G15</f>
        <v>#VALUE!</v>
      </c>
      <c r="K15" s="319" t="e">
        <f>Mellomregninger!EW15</f>
        <v>#VALUE!</v>
      </c>
      <c r="L15" s="318" t="e">
        <f>F15/Stoff!$G15</f>
        <v>#VALUE!</v>
      </c>
      <c r="M15" s="318" t="str">
        <f>IF(Mellomregninger!B15="","",Mellomregninger!S15)</f>
        <v/>
      </c>
      <c r="N15" s="320" t="e">
        <f>Mellomregninger!DC15+Mellomregninger!DK15</f>
        <v>#VALUE!</v>
      </c>
      <c r="O15" s="318" t="e">
        <f>Mellomregninger!DO15+Mellomregninger!DW15</f>
        <v>#VALUE!</v>
      </c>
      <c r="P15" s="318" t="e">
        <f>Mellomregninger!EA15+Mellomregninger!EI15</f>
        <v>#VALUE!</v>
      </c>
      <c r="Q15" s="318" t="e">
        <f>Mellomregninger!EX15</f>
        <v>#VALUE!</v>
      </c>
      <c r="R15" s="318" t="e">
        <f>Mellomregninger!EM15+Mellomregninger!EP15</f>
        <v>#VALUE!</v>
      </c>
    </row>
    <row r="16" spans="1:18" x14ac:dyDescent="0.35">
      <c r="A16" s="239" t="s">
        <v>194</v>
      </c>
      <c r="B16" s="317" t="str">
        <f>IF(Mellomregninger!B16="","",IF(ISNUMBER('1f. Kons. resipient'!E16),'1f. Kons. resipient'!E16*1000,0))</f>
        <v/>
      </c>
      <c r="C16" s="317" t="e">
        <f>Mellomregninger!DJ16</f>
        <v>#VALUE!</v>
      </c>
      <c r="D16" s="317" t="e">
        <f>Mellomregninger!DV16</f>
        <v>#VALUE!</v>
      </c>
      <c r="E16" s="317" t="e">
        <f>Mellomregninger!EH16</f>
        <v>#VALUE!</v>
      </c>
      <c r="F16" s="317" t="e">
        <f>Mellomregninger!EV16</f>
        <v>#VALUE!</v>
      </c>
      <c r="G16" s="318" t="e">
        <f>B16/Stoff!$G16</f>
        <v>#VALUE!</v>
      </c>
      <c r="H16" s="318" t="e">
        <f>C16/Stoff!$G16</f>
        <v>#VALUE!</v>
      </c>
      <c r="I16" s="318" t="e">
        <f>D16/Stoff!$G16</f>
        <v>#VALUE!</v>
      </c>
      <c r="J16" s="318" t="e">
        <f>E16/Stoff!$G16</f>
        <v>#VALUE!</v>
      </c>
      <c r="K16" s="319" t="e">
        <f>Mellomregninger!EW16</f>
        <v>#VALUE!</v>
      </c>
      <c r="L16" s="318" t="e">
        <f>F16/Stoff!$G16</f>
        <v>#VALUE!</v>
      </c>
      <c r="M16" s="318" t="str">
        <f>IF(Mellomregninger!B16="","",Mellomregninger!S16)</f>
        <v/>
      </c>
      <c r="N16" s="320" t="e">
        <f>Mellomregninger!DC16+Mellomregninger!DK16</f>
        <v>#VALUE!</v>
      </c>
      <c r="O16" s="318" t="e">
        <f>Mellomregninger!DO16+Mellomregninger!DW16</f>
        <v>#VALUE!</v>
      </c>
      <c r="P16" s="318" t="e">
        <f>Mellomregninger!EA16+Mellomregninger!EI16</f>
        <v>#VALUE!</v>
      </c>
      <c r="Q16" s="318" t="e">
        <f>Mellomregninger!EX16</f>
        <v>#VALUE!</v>
      </c>
      <c r="R16" s="318" t="e">
        <f>Mellomregninger!EM16+Mellomregninger!EP16</f>
        <v>#VALUE!</v>
      </c>
    </row>
    <row r="17" spans="1:18" x14ac:dyDescent="0.35">
      <c r="A17" s="239" t="s">
        <v>193</v>
      </c>
      <c r="B17" s="317" t="str">
        <f>IF(Mellomregninger!B17="","",IF(ISNUMBER('1f. Kons. resipient'!E17),'1f. Kons. resipient'!E17*1000,0))</f>
        <v/>
      </c>
      <c r="C17" s="317" t="e">
        <f>Mellomregninger!DJ17</f>
        <v>#VALUE!</v>
      </c>
      <c r="D17" s="317" t="e">
        <f>Mellomregninger!DV17</f>
        <v>#VALUE!</v>
      </c>
      <c r="E17" s="317" t="e">
        <f>Mellomregninger!EH17</f>
        <v>#VALUE!</v>
      </c>
      <c r="F17" s="317" t="e">
        <f>Mellomregninger!EV17</f>
        <v>#VALUE!</v>
      </c>
      <c r="G17" s="318" t="e">
        <f>B17/Stoff!$G17</f>
        <v>#VALUE!</v>
      </c>
      <c r="H17" s="318" t="e">
        <f>C17/Stoff!$G17</f>
        <v>#VALUE!</v>
      </c>
      <c r="I17" s="318" t="e">
        <f>D17/Stoff!$G17</f>
        <v>#VALUE!</v>
      </c>
      <c r="J17" s="318" t="e">
        <f>E17/Stoff!$G17</f>
        <v>#VALUE!</v>
      </c>
      <c r="K17" s="319" t="e">
        <f>Mellomregninger!EW17</f>
        <v>#VALUE!</v>
      </c>
      <c r="L17" s="318" t="e">
        <f>F17/Stoff!$G17</f>
        <v>#VALUE!</v>
      </c>
      <c r="M17" s="318" t="str">
        <f>IF(Mellomregninger!B17="","",Mellomregninger!S17)</f>
        <v/>
      </c>
      <c r="N17" s="320" t="e">
        <f>Mellomregninger!DC17+Mellomregninger!DK17</f>
        <v>#VALUE!</v>
      </c>
      <c r="O17" s="318" t="e">
        <f>Mellomregninger!DO17+Mellomregninger!DW17</f>
        <v>#VALUE!</v>
      </c>
      <c r="P17" s="318" t="e">
        <f>Mellomregninger!EA17+Mellomregninger!EI17</f>
        <v>#VALUE!</v>
      </c>
      <c r="Q17" s="318" t="e">
        <f>Mellomregninger!EX17</f>
        <v>#VALUE!</v>
      </c>
      <c r="R17" s="318" t="e">
        <f>Mellomregninger!EM17+Mellomregninger!EP17</f>
        <v>#VALUE!</v>
      </c>
    </row>
    <row r="18" spans="1:18" x14ac:dyDescent="0.35">
      <c r="A18" s="239" t="s">
        <v>192</v>
      </c>
      <c r="B18" s="317" t="str">
        <f>IF(Mellomregninger!B18="","",IF(ISNUMBER('1f. Kons. resipient'!E18),'1f. Kons. resipient'!E18*1000,0))</f>
        <v/>
      </c>
      <c r="C18" s="317" t="e">
        <f>Mellomregninger!DJ18</f>
        <v>#VALUE!</v>
      </c>
      <c r="D18" s="317" t="e">
        <f>Mellomregninger!DV18</f>
        <v>#VALUE!</v>
      </c>
      <c r="E18" s="317" t="e">
        <f>Mellomregninger!EH18</f>
        <v>#VALUE!</v>
      </c>
      <c r="F18" s="317" t="e">
        <f>Mellomregninger!EV18</f>
        <v>#VALUE!</v>
      </c>
      <c r="G18" s="318" t="e">
        <f>B18/Stoff!$G18</f>
        <v>#VALUE!</v>
      </c>
      <c r="H18" s="318" t="e">
        <f>C18/Stoff!$G18</f>
        <v>#VALUE!</v>
      </c>
      <c r="I18" s="318" t="e">
        <f>D18/Stoff!$G18</f>
        <v>#VALUE!</v>
      </c>
      <c r="J18" s="318" t="e">
        <f>E18/Stoff!$G18</f>
        <v>#VALUE!</v>
      </c>
      <c r="K18" s="319" t="e">
        <f>Mellomregninger!EW18</f>
        <v>#VALUE!</v>
      </c>
      <c r="L18" s="318" t="e">
        <f>F18/Stoff!$G18</f>
        <v>#VALUE!</v>
      </c>
      <c r="M18" s="318" t="str">
        <f>IF(Mellomregninger!B18="","",Mellomregninger!S18)</f>
        <v/>
      </c>
      <c r="N18" s="320" t="e">
        <f>Mellomregninger!DC18+Mellomregninger!DK18</f>
        <v>#VALUE!</v>
      </c>
      <c r="O18" s="318" t="e">
        <f>Mellomregninger!DO18+Mellomregninger!DW18</f>
        <v>#VALUE!</v>
      </c>
      <c r="P18" s="318" t="e">
        <f>Mellomregninger!EA18+Mellomregninger!EI18</f>
        <v>#VALUE!</v>
      </c>
      <c r="Q18" s="318" t="e">
        <f>Mellomregninger!EX18</f>
        <v>#VALUE!</v>
      </c>
      <c r="R18" s="318" t="e">
        <f>Mellomregninger!EM18+Mellomregninger!EP18</f>
        <v>#VALUE!</v>
      </c>
    </row>
    <row r="19" spans="1:18" x14ac:dyDescent="0.35">
      <c r="A19" s="239" t="s">
        <v>191</v>
      </c>
      <c r="B19" s="317" t="str">
        <f>IF(Mellomregninger!B19="","",IF(ISNUMBER('1f. Kons. resipient'!E19),'1f. Kons. resipient'!E19*1000,0))</f>
        <v/>
      </c>
      <c r="C19" s="317" t="e">
        <f>Mellomregninger!DJ19</f>
        <v>#VALUE!</v>
      </c>
      <c r="D19" s="317" t="e">
        <f>Mellomregninger!DV19</f>
        <v>#VALUE!</v>
      </c>
      <c r="E19" s="317" t="e">
        <f>Mellomregninger!EH19</f>
        <v>#VALUE!</v>
      </c>
      <c r="F19" s="317" t="e">
        <f>Mellomregninger!EV19</f>
        <v>#VALUE!</v>
      </c>
      <c r="G19" s="318" t="e">
        <f>B19/Stoff!$G19</f>
        <v>#VALUE!</v>
      </c>
      <c r="H19" s="318" t="e">
        <f>C19/Stoff!$G19</f>
        <v>#VALUE!</v>
      </c>
      <c r="I19" s="318" t="e">
        <f>D19/Stoff!$G19</f>
        <v>#VALUE!</v>
      </c>
      <c r="J19" s="318" t="e">
        <f>E19/Stoff!$G19</f>
        <v>#VALUE!</v>
      </c>
      <c r="K19" s="319" t="e">
        <f>Mellomregninger!EW19</f>
        <v>#VALUE!</v>
      </c>
      <c r="L19" s="318" t="e">
        <f>F19/Stoff!$G19</f>
        <v>#VALUE!</v>
      </c>
      <c r="M19" s="318" t="str">
        <f>IF(Mellomregninger!B19="","",Mellomregninger!S19)</f>
        <v/>
      </c>
      <c r="N19" s="320" t="e">
        <f>Mellomregninger!DC19+Mellomregninger!DK19</f>
        <v>#VALUE!</v>
      </c>
      <c r="O19" s="318" t="e">
        <f>Mellomregninger!DO19+Mellomregninger!DW19</f>
        <v>#VALUE!</v>
      </c>
      <c r="P19" s="318" t="e">
        <f>Mellomregninger!EA19+Mellomregninger!EI19</f>
        <v>#VALUE!</v>
      </c>
      <c r="Q19" s="318" t="e">
        <f>Mellomregninger!EX19</f>
        <v>#VALUE!</v>
      </c>
      <c r="R19" s="318" t="e">
        <f>Mellomregninger!EM19+Mellomregninger!EP19</f>
        <v>#VALUE!</v>
      </c>
    </row>
    <row r="20" spans="1:18" x14ac:dyDescent="0.35">
      <c r="A20" s="239" t="s">
        <v>190</v>
      </c>
      <c r="B20" s="317" t="str">
        <f>IF(Mellomregninger!B20="","",IF(ISNUMBER('1f. Kons. resipient'!E20),'1f. Kons. resipient'!E20*1000,0))</f>
        <v/>
      </c>
      <c r="C20" s="317" t="e">
        <f>Mellomregninger!DJ20</f>
        <v>#VALUE!</v>
      </c>
      <c r="D20" s="317" t="e">
        <f>Mellomregninger!DV20</f>
        <v>#VALUE!</v>
      </c>
      <c r="E20" s="317" t="e">
        <f>Mellomregninger!EH20</f>
        <v>#VALUE!</v>
      </c>
      <c r="F20" s="317" t="e">
        <f>Mellomregninger!EV20</f>
        <v>#VALUE!</v>
      </c>
      <c r="G20" s="318" t="e">
        <f>B20/Stoff!$G20</f>
        <v>#VALUE!</v>
      </c>
      <c r="H20" s="318" t="e">
        <f>C20/Stoff!$G20</f>
        <v>#VALUE!</v>
      </c>
      <c r="I20" s="318" t="e">
        <f>D20/Stoff!$G20</f>
        <v>#VALUE!</v>
      </c>
      <c r="J20" s="318" t="e">
        <f>E20/Stoff!$G20</f>
        <v>#VALUE!</v>
      </c>
      <c r="K20" s="319" t="e">
        <f>Mellomregninger!EW20</f>
        <v>#VALUE!</v>
      </c>
      <c r="L20" s="318" t="e">
        <f>F20/Stoff!$G20</f>
        <v>#VALUE!</v>
      </c>
      <c r="M20" s="318" t="str">
        <f>IF(Mellomregninger!B20="","",Mellomregninger!S20)</f>
        <v/>
      </c>
      <c r="N20" s="320" t="e">
        <f>Mellomregninger!DC20+Mellomregninger!DK20</f>
        <v>#VALUE!</v>
      </c>
      <c r="O20" s="318" t="e">
        <f>Mellomregninger!DO20+Mellomregninger!DW20</f>
        <v>#VALUE!</v>
      </c>
      <c r="P20" s="318" t="e">
        <f>Mellomregninger!EA20+Mellomregninger!EI20</f>
        <v>#VALUE!</v>
      </c>
      <c r="Q20" s="318" t="e">
        <f>Mellomregninger!EX20</f>
        <v>#VALUE!</v>
      </c>
      <c r="R20" s="318" t="e">
        <f>Mellomregninger!EM20+Mellomregninger!EP20</f>
        <v>#VALUE!</v>
      </c>
    </row>
    <row r="21" spans="1:18" x14ac:dyDescent="0.35">
      <c r="A21" s="239" t="s">
        <v>189</v>
      </c>
      <c r="B21" s="317" t="str">
        <f>IF(Mellomregninger!B21="","",IF(ISNUMBER('1f. Kons. resipient'!E21),'1f. Kons. resipient'!E21*1000,0))</f>
        <v/>
      </c>
      <c r="C21" s="317" t="e">
        <f>Mellomregninger!DJ21</f>
        <v>#VALUE!</v>
      </c>
      <c r="D21" s="317" t="e">
        <f>Mellomregninger!DV21</f>
        <v>#VALUE!</v>
      </c>
      <c r="E21" s="317" t="e">
        <f>Mellomregninger!EH21</f>
        <v>#VALUE!</v>
      </c>
      <c r="F21" s="317" t="e">
        <f>Mellomregninger!EV21</f>
        <v>#VALUE!</v>
      </c>
      <c r="G21" s="318" t="e">
        <f>B21/Stoff!$G21</f>
        <v>#VALUE!</v>
      </c>
      <c r="H21" s="318" t="e">
        <f>C21/Stoff!$G21</f>
        <v>#VALUE!</v>
      </c>
      <c r="I21" s="318" t="e">
        <f>D21/Stoff!$G21</f>
        <v>#VALUE!</v>
      </c>
      <c r="J21" s="318" t="e">
        <f>E21/Stoff!$G21</f>
        <v>#VALUE!</v>
      </c>
      <c r="K21" s="319" t="e">
        <f>Mellomregninger!EW21</f>
        <v>#VALUE!</v>
      </c>
      <c r="L21" s="318" t="e">
        <f>F21/Stoff!$G21</f>
        <v>#VALUE!</v>
      </c>
      <c r="M21" s="318" t="str">
        <f>IF(Mellomregninger!B21="","",Mellomregninger!S21)</f>
        <v/>
      </c>
      <c r="N21" s="320" t="e">
        <f>Mellomregninger!DC21+Mellomregninger!DK21</f>
        <v>#VALUE!</v>
      </c>
      <c r="O21" s="318" t="e">
        <f>Mellomregninger!DO21+Mellomregninger!DW21</f>
        <v>#VALUE!</v>
      </c>
      <c r="P21" s="318" t="e">
        <f>Mellomregninger!EA21+Mellomregninger!EI21</f>
        <v>#VALUE!</v>
      </c>
      <c r="Q21" s="318" t="e">
        <f>Mellomregninger!EX21</f>
        <v>#VALUE!</v>
      </c>
      <c r="R21" s="318" t="e">
        <f>Mellomregninger!EM21+Mellomregninger!EP21</f>
        <v>#VALUE!</v>
      </c>
    </row>
    <row r="22" spans="1:18" x14ac:dyDescent="0.35">
      <c r="A22" s="239" t="s">
        <v>188</v>
      </c>
      <c r="B22" s="317" t="str">
        <f>IF(Mellomregninger!B22="","",IF(ISNUMBER('1f. Kons. resipient'!E22),'1f. Kons. resipient'!E22*1000,0))</f>
        <v/>
      </c>
      <c r="C22" s="317" t="e">
        <f>Mellomregninger!DJ22</f>
        <v>#VALUE!</v>
      </c>
      <c r="D22" s="317" t="e">
        <f>Mellomregninger!DV22</f>
        <v>#VALUE!</v>
      </c>
      <c r="E22" s="317" t="e">
        <f>Mellomregninger!EH22</f>
        <v>#VALUE!</v>
      </c>
      <c r="F22" s="317" t="e">
        <f>Mellomregninger!EV22</f>
        <v>#VALUE!</v>
      </c>
      <c r="G22" s="318" t="e">
        <f>B22/Stoff!$G22</f>
        <v>#VALUE!</v>
      </c>
      <c r="H22" s="318" t="e">
        <f>C22/Stoff!$G22</f>
        <v>#VALUE!</v>
      </c>
      <c r="I22" s="318" t="e">
        <f>D22/Stoff!$G22</f>
        <v>#VALUE!</v>
      </c>
      <c r="J22" s="318" t="e">
        <f>E22/Stoff!$G22</f>
        <v>#VALUE!</v>
      </c>
      <c r="K22" s="319" t="e">
        <f>Mellomregninger!EW22</f>
        <v>#VALUE!</v>
      </c>
      <c r="L22" s="318" t="e">
        <f>F22/Stoff!$G22</f>
        <v>#VALUE!</v>
      </c>
      <c r="M22" s="318" t="str">
        <f>IF(Mellomregninger!B22="","",Mellomregninger!S22)</f>
        <v/>
      </c>
      <c r="N22" s="320" t="e">
        <f>Mellomregninger!DC22+Mellomregninger!DK22</f>
        <v>#VALUE!</v>
      </c>
      <c r="O22" s="318" t="e">
        <f>Mellomregninger!DO22+Mellomregninger!DW22</f>
        <v>#VALUE!</v>
      </c>
      <c r="P22" s="318" t="e">
        <f>Mellomregninger!EA22+Mellomregninger!EI22</f>
        <v>#VALUE!</v>
      </c>
      <c r="Q22" s="318" t="e">
        <f>Mellomregninger!EX22</f>
        <v>#VALUE!</v>
      </c>
      <c r="R22" s="318" t="e">
        <f>Mellomregninger!EM22+Mellomregninger!EP22</f>
        <v>#VALUE!</v>
      </c>
    </row>
    <row r="23" spans="1:18" x14ac:dyDescent="0.35">
      <c r="A23" s="239" t="s">
        <v>187</v>
      </c>
      <c r="B23" s="317" t="str">
        <f>IF(Mellomregninger!B23="","",IF(ISNUMBER('1f. Kons. resipient'!E23),'1f. Kons. resipient'!E23*1000,0))</f>
        <v/>
      </c>
      <c r="C23" s="317" t="e">
        <f>Mellomregninger!DJ23</f>
        <v>#VALUE!</v>
      </c>
      <c r="D23" s="317" t="e">
        <f>Mellomregninger!DV23</f>
        <v>#VALUE!</v>
      </c>
      <c r="E23" s="317" t="e">
        <f>Mellomregninger!EH23</f>
        <v>#VALUE!</v>
      </c>
      <c r="F23" s="317" t="e">
        <f>Mellomregninger!EV23</f>
        <v>#VALUE!</v>
      </c>
      <c r="G23" s="318" t="e">
        <f>B23/Stoff!$G23</f>
        <v>#VALUE!</v>
      </c>
      <c r="H23" s="318" t="e">
        <f>C23/Stoff!$G23</f>
        <v>#VALUE!</v>
      </c>
      <c r="I23" s="318" t="e">
        <f>D23/Stoff!$G23</f>
        <v>#VALUE!</v>
      </c>
      <c r="J23" s="318" t="e">
        <f>E23/Stoff!$G23</f>
        <v>#VALUE!</v>
      </c>
      <c r="K23" s="319" t="e">
        <f>Mellomregninger!EW23</f>
        <v>#VALUE!</v>
      </c>
      <c r="L23" s="318" t="e">
        <f>F23/Stoff!$G23</f>
        <v>#VALUE!</v>
      </c>
      <c r="M23" s="318" t="str">
        <f>IF(Mellomregninger!B23="","",Mellomregninger!S23)</f>
        <v/>
      </c>
      <c r="N23" s="320" t="e">
        <f>Mellomregninger!DC23+Mellomregninger!DK23</f>
        <v>#VALUE!</v>
      </c>
      <c r="O23" s="318" t="e">
        <f>Mellomregninger!DO23+Mellomregninger!DW23</f>
        <v>#VALUE!</v>
      </c>
      <c r="P23" s="318" t="e">
        <f>Mellomregninger!EA23+Mellomregninger!EI23</f>
        <v>#VALUE!</v>
      </c>
      <c r="Q23" s="318" t="e">
        <f>Mellomregninger!EX23</f>
        <v>#VALUE!</v>
      </c>
      <c r="R23" s="318" t="e">
        <f>Mellomregninger!EM23+Mellomregninger!EP23</f>
        <v>#VALUE!</v>
      </c>
    </row>
    <row r="24" spans="1:18" x14ac:dyDescent="0.35">
      <c r="A24" s="239" t="s">
        <v>186</v>
      </c>
      <c r="B24" s="317" t="str">
        <f>IF(Mellomregninger!B24="","",IF(ISNUMBER('1f. Kons. resipient'!E24),'1f. Kons. resipient'!E24*1000,0))</f>
        <v/>
      </c>
      <c r="C24" s="317" t="e">
        <f>Mellomregninger!DJ24</f>
        <v>#VALUE!</v>
      </c>
      <c r="D24" s="317" t="e">
        <f>Mellomregninger!DV24</f>
        <v>#VALUE!</v>
      </c>
      <c r="E24" s="317" t="e">
        <f>Mellomregninger!EH24</f>
        <v>#VALUE!</v>
      </c>
      <c r="F24" s="317" t="e">
        <f>Mellomregninger!EV24</f>
        <v>#VALUE!</v>
      </c>
      <c r="G24" s="318" t="e">
        <f>B24/Stoff!$G24</f>
        <v>#VALUE!</v>
      </c>
      <c r="H24" s="318" t="e">
        <f>C24/Stoff!$G24</f>
        <v>#VALUE!</v>
      </c>
      <c r="I24" s="318" t="e">
        <f>D24/Stoff!$G24</f>
        <v>#VALUE!</v>
      </c>
      <c r="J24" s="318" t="e">
        <f>E24/Stoff!$G24</f>
        <v>#VALUE!</v>
      </c>
      <c r="K24" s="319" t="e">
        <f>Mellomregninger!EW24</f>
        <v>#VALUE!</v>
      </c>
      <c r="L24" s="318" t="e">
        <f>F24/Stoff!$G24</f>
        <v>#VALUE!</v>
      </c>
      <c r="M24" s="318" t="str">
        <f>IF(Mellomregninger!B24="","",Mellomregninger!S24)</f>
        <v/>
      </c>
      <c r="N24" s="320" t="e">
        <f>Mellomregninger!DC24+Mellomregninger!DK24</f>
        <v>#VALUE!</v>
      </c>
      <c r="O24" s="318" t="e">
        <f>Mellomregninger!DO24+Mellomregninger!DW24</f>
        <v>#VALUE!</v>
      </c>
      <c r="P24" s="318" t="e">
        <f>Mellomregninger!EA24+Mellomregninger!EI24</f>
        <v>#VALUE!</v>
      </c>
      <c r="Q24" s="318" t="e">
        <f>Mellomregninger!EX24</f>
        <v>#VALUE!</v>
      </c>
      <c r="R24" s="318" t="e">
        <f>Mellomregninger!EM24+Mellomregninger!EP24</f>
        <v>#VALUE!</v>
      </c>
    </row>
    <row r="25" spans="1:18" x14ac:dyDescent="0.35">
      <c r="A25" s="239" t="s">
        <v>185</v>
      </c>
      <c r="B25" s="317" t="str">
        <f>IF(Mellomregninger!B25="","",IF(ISNUMBER('1f. Kons. resipient'!E25),'1f. Kons. resipient'!E25*1000,0))</f>
        <v/>
      </c>
      <c r="C25" s="317" t="e">
        <f>Mellomregninger!DJ25</f>
        <v>#VALUE!</v>
      </c>
      <c r="D25" s="317" t="e">
        <f>Mellomregninger!DV25</f>
        <v>#VALUE!</v>
      </c>
      <c r="E25" s="317" t="e">
        <f>Mellomregninger!EH25</f>
        <v>#VALUE!</v>
      </c>
      <c r="F25" s="317" t="e">
        <f>Mellomregninger!EV25</f>
        <v>#VALUE!</v>
      </c>
      <c r="G25" s="318" t="e">
        <f>B25/Stoff!$G25</f>
        <v>#VALUE!</v>
      </c>
      <c r="H25" s="318" t="e">
        <f>C25/Stoff!$G25</f>
        <v>#VALUE!</v>
      </c>
      <c r="I25" s="318" t="e">
        <f>D25/Stoff!$G25</f>
        <v>#VALUE!</v>
      </c>
      <c r="J25" s="318" t="e">
        <f>E25/Stoff!$G25</f>
        <v>#VALUE!</v>
      </c>
      <c r="K25" s="319" t="e">
        <f>Mellomregninger!EW25</f>
        <v>#VALUE!</v>
      </c>
      <c r="L25" s="318" t="e">
        <f>F25/Stoff!$G25</f>
        <v>#VALUE!</v>
      </c>
      <c r="M25" s="318" t="str">
        <f>IF(Mellomregninger!B25="","",Mellomregninger!S25)</f>
        <v/>
      </c>
      <c r="N25" s="320" t="e">
        <f>Mellomregninger!DC25+Mellomregninger!DK25</f>
        <v>#VALUE!</v>
      </c>
      <c r="O25" s="318" t="e">
        <f>Mellomregninger!DO25+Mellomregninger!DW25</f>
        <v>#VALUE!</v>
      </c>
      <c r="P25" s="318" t="e">
        <f>Mellomregninger!EA25+Mellomregninger!EI25</f>
        <v>#VALUE!</v>
      </c>
      <c r="Q25" s="318" t="e">
        <f>Mellomregninger!EX25</f>
        <v>#VALUE!</v>
      </c>
      <c r="R25" s="318" t="e">
        <f>Mellomregninger!EM25+Mellomregninger!EP25</f>
        <v>#VALUE!</v>
      </c>
    </row>
    <row r="26" spans="1:18" x14ac:dyDescent="0.35">
      <c r="A26" s="239" t="s">
        <v>184</v>
      </c>
      <c r="B26" s="317" t="str">
        <f>IF(Mellomregninger!B26="","",IF(ISNUMBER('1f. Kons. resipient'!E26),'1f. Kons. resipient'!E26*1000,0))</f>
        <v/>
      </c>
      <c r="C26" s="317" t="e">
        <f>Mellomregninger!DJ26</f>
        <v>#VALUE!</v>
      </c>
      <c r="D26" s="317" t="e">
        <f>Mellomregninger!DV26</f>
        <v>#VALUE!</v>
      </c>
      <c r="E26" s="317" t="e">
        <f>Mellomregninger!EH26</f>
        <v>#VALUE!</v>
      </c>
      <c r="F26" s="317" t="e">
        <f>Mellomregninger!EV26</f>
        <v>#VALUE!</v>
      </c>
      <c r="G26" s="318" t="e">
        <f>B26/Stoff!$G26</f>
        <v>#VALUE!</v>
      </c>
      <c r="H26" s="318" t="e">
        <f>C26/Stoff!$G26</f>
        <v>#VALUE!</v>
      </c>
      <c r="I26" s="318" t="e">
        <f>D26/Stoff!$G26</f>
        <v>#VALUE!</v>
      </c>
      <c r="J26" s="318" t="e">
        <f>E26/Stoff!$G26</f>
        <v>#VALUE!</v>
      </c>
      <c r="K26" s="319" t="e">
        <f>Mellomregninger!EW26</f>
        <v>#VALUE!</v>
      </c>
      <c r="L26" s="318" t="e">
        <f>F26/Stoff!$G26</f>
        <v>#VALUE!</v>
      </c>
      <c r="M26" s="318" t="str">
        <f>IF(Mellomregninger!B26="","",Mellomregninger!S26)</f>
        <v/>
      </c>
      <c r="N26" s="320" t="e">
        <f>Mellomregninger!DC26+Mellomregninger!DK26</f>
        <v>#VALUE!</v>
      </c>
      <c r="O26" s="318" t="e">
        <f>Mellomregninger!DO26+Mellomregninger!DW26</f>
        <v>#VALUE!</v>
      </c>
      <c r="P26" s="318" t="e">
        <f>Mellomregninger!EA26+Mellomregninger!EI26</f>
        <v>#VALUE!</v>
      </c>
      <c r="Q26" s="318" t="e">
        <f>Mellomregninger!EX26</f>
        <v>#VALUE!</v>
      </c>
      <c r="R26" s="318" t="e">
        <f>Mellomregninger!EM26+Mellomregninger!EP26</f>
        <v>#VALUE!</v>
      </c>
    </row>
    <row r="27" spans="1:18" x14ac:dyDescent="0.35">
      <c r="A27" s="239" t="s">
        <v>183</v>
      </c>
      <c r="B27" s="317" t="str">
        <f>IF(Mellomregninger!B27="","",IF(ISNUMBER('1f. Kons. resipient'!E27),'1f. Kons. resipient'!E27*1000,0))</f>
        <v/>
      </c>
      <c r="C27" s="317" t="e">
        <f>Mellomregninger!DJ27</f>
        <v>#VALUE!</v>
      </c>
      <c r="D27" s="317" t="e">
        <f>Mellomregninger!DV27</f>
        <v>#VALUE!</v>
      </c>
      <c r="E27" s="317" t="e">
        <f>Mellomregninger!EH27</f>
        <v>#VALUE!</v>
      </c>
      <c r="F27" s="317" t="e">
        <f>Mellomregninger!EV27</f>
        <v>#VALUE!</v>
      </c>
      <c r="G27" s="318" t="e">
        <f>B27/Stoff!$G27</f>
        <v>#VALUE!</v>
      </c>
      <c r="H27" s="318" t="e">
        <f>C27/Stoff!$G27</f>
        <v>#VALUE!</v>
      </c>
      <c r="I27" s="318" t="e">
        <f>D27/Stoff!$G27</f>
        <v>#VALUE!</v>
      </c>
      <c r="J27" s="318" t="e">
        <f>E27/Stoff!$G27</f>
        <v>#VALUE!</v>
      </c>
      <c r="K27" s="319" t="e">
        <f>Mellomregninger!EW27</f>
        <v>#VALUE!</v>
      </c>
      <c r="L27" s="318" t="e">
        <f>F27/Stoff!$G27</f>
        <v>#VALUE!</v>
      </c>
      <c r="M27" s="318" t="str">
        <f>IF(Mellomregninger!B27="","",Mellomregninger!S27)</f>
        <v/>
      </c>
      <c r="N27" s="320" t="e">
        <f>Mellomregninger!DC27+Mellomregninger!DK27</f>
        <v>#VALUE!</v>
      </c>
      <c r="O27" s="318" t="e">
        <f>Mellomregninger!DO27+Mellomregninger!DW27</f>
        <v>#VALUE!</v>
      </c>
      <c r="P27" s="318" t="e">
        <f>Mellomregninger!EA27+Mellomregninger!EI27</f>
        <v>#VALUE!</v>
      </c>
      <c r="Q27" s="318" t="e">
        <f>Mellomregninger!EX27</f>
        <v>#VALUE!</v>
      </c>
      <c r="R27" s="318" t="e">
        <f>Mellomregninger!EM27+Mellomregninger!EP27</f>
        <v>#VALUE!</v>
      </c>
    </row>
    <row r="28" spans="1:18" x14ac:dyDescent="0.35">
      <c r="A28" s="239" t="s">
        <v>182</v>
      </c>
      <c r="B28" s="317" t="str">
        <f>IF(Mellomregninger!B28="","",IF(ISNUMBER('1f. Kons. resipient'!E28),'1f. Kons. resipient'!E28*1000,0))</f>
        <v/>
      </c>
      <c r="C28" s="317" t="e">
        <f>Mellomregninger!DJ28</f>
        <v>#VALUE!</v>
      </c>
      <c r="D28" s="317" t="e">
        <f>Mellomregninger!DV28</f>
        <v>#VALUE!</v>
      </c>
      <c r="E28" s="317" t="e">
        <f>Mellomregninger!EH28</f>
        <v>#VALUE!</v>
      </c>
      <c r="F28" s="317" t="e">
        <f>Mellomregninger!EV28</f>
        <v>#VALUE!</v>
      </c>
      <c r="G28" s="318" t="e">
        <f>B28/Stoff!$G28</f>
        <v>#VALUE!</v>
      </c>
      <c r="H28" s="318" t="e">
        <f>C28/Stoff!$G28</f>
        <v>#VALUE!</v>
      </c>
      <c r="I28" s="318" t="e">
        <f>D28/Stoff!$G28</f>
        <v>#VALUE!</v>
      </c>
      <c r="J28" s="318" t="e">
        <f>E28/Stoff!$G28</f>
        <v>#VALUE!</v>
      </c>
      <c r="K28" s="319" t="e">
        <f>Mellomregninger!EW28</f>
        <v>#VALUE!</v>
      </c>
      <c r="L28" s="318" t="e">
        <f>F28/Stoff!$G28</f>
        <v>#VALUE!</v>
      </c>
      <c r="M28" s="318" t="str">
        <f>IF(Mellomregninger!B28="","",Mellomregninger!S28)</f>
        <v/>
      </c>
      <c r="N28" s="320" t="e">
        <f>Mellomregninger!DC28+Mellomregninger!DK28</f>
        <v>#VALUE!</v>
      </c>
      <c r="O28" s="318" t="e">
        <f>Mellomregninger!DO28+Mellomregninger!DW28</f>
        <v>#VALUE!</v>
      </c>
      <c r="P28" s="318" t="e">
        <f>Mellomregninger!EA28+Mellomregninger!EI28</f>
        <v>#VALUE!</v>
      </c>
      <c r="Q28" s="318" t="e">
        <f>Mellomregninger!EX28</f>
        <v>#VALUE!</v>
      </c>
      <c r="R28" s="318" t="e">
        <f>Mellomregninger!EM28+Mellomregninger!EP28</f>
        <v>#VALUE!</v>
      </c>
    </row>
    <row r="29" spans="1:18" x14ac:dyDescent="0.35">
      <c r="A29" s="239" t="s">
        <v>181</v>
      </c>
      <c r="B29" s="317" t="str">
        <f>IF(Mellomregninger!B29="","",IF(ISNUMBER('1f. Kons. resipient'!E29),'1f. Kons. resipient'!E29*1000,0))</f>
        <v/>
      </c>
      <c r="C29" s="317" t="e">
        <f>Mellomregninger!DJ29</f>
        <v>#VALUE!</v>
      </c>
      <c r="D29" s="317" t="e">
        <f>Mellomregninger!DV29</f>
        <v>#VALUE!</v>
      </c>
      <c r="E29" s="317" t="e">
        <f>Mellomregninger!EH29</f>
        <v>#VALUE!</v>
      </c>
      <c r="F29" s="317" t="e">
        <f>Mellomregninger!EV29</f>
        <v>#VALUE!</v>
      </c>
      <c r="G29" s="318" t="e">
        <f>B29/Stoff!$G29</f>
        <v>#VALUE!</v>
      </c>
      <c r="H29" s="318" t="e">
        <f>C29/Stoff!$G29</f>
        <v>#VALUE!</v>
      </c>
      <c r="I29" s="318" t="e">
        <f>D29/Stoff!$G29</f>
        <v>#VALUE!</v>
      </c>
      <c r="J29" s="318" t="e">
        <f>E29/Stoff!$G29</f>
        <v>#VALUE!</v>
      </c>
      <c r="K29" s="319" t="e">
        <f>Mellomregninger!EW29</f>
        <v>#VALUE!</v>
      </c>
      <c r="L29" s="318" t="e">
        <f>F29/Stoff!$G29</f>
        <v>#VALUE!</v>
      </c>
      <c r="M29" s="318" t="str">
        <f>IF(Mellomregninger!B29="","",Mellomregninger!S29)</f>
        <v/>
      </c>
      <c r="N29" s="320" t="e">
        <f>Mellomregninger!DC29+Mellomregninger!DK29</f>
        <v>#VALUE!</v>
      </c>
      <c r="O29" s="318" t="e">
        <f>Mellomregninger!DO29+Mellomregninger!DW29</f>
        <v>#VALUE!</v>
      </c>
      <c r="P29" s="318" t="e">
        <f>Mellomregninger!EA29+Mellomregninger!EI29</f>
        <v>#VALUE!</v>
      </c>
      <c r="Q29" s="318" t="e">
        <f>Mellomregninger!EX29</f>
        <v>#VALUE!</v>
      </c>
      <c r="R29" s="318" t="e">
        <f>Mellomregninger!EM29+Mellomregninger!EP29</f>
        <v>#VALUE!</v>
      </c>
    </row>
    <row r="30" spans="1:18" x14ac:dyDescent="0.35">
      <c r="A30" s="239" t="s">
        <v>180</v>
      </c>
      <c r="B30" s="317" t="str">
        <f>IF(Mellomregninger!B30="","",IF(ISNUMBER('1f. Kons. resipient'!E30),'1f. Kons. resipient'!E30*1000,0))</f>
        <v/>
      </c>
      <c r="C30" s="317" t="e">
        <f>Mellomregninger!DJ30</f>
        <v>#VALUE!</v>
      </c>
      <c r="D30" s="317" t="e">
        <f>Mellomregninger!DV30</f>
        <v>#VALUE!</v>
      </c>
      <c r="E30" s="317" t="e">
        <f>Mellomregninger!EH30</f>
        <v>#VALUE!</v>
      </c>
      <c r="F30" s="317" t="e">
        <f>Mellomregninger!EV30</f>
        <v>#VALUE!</v>
      </c>
      <c r="G30" s="318" t="e">
        <f>B30/Stoff!$G30</f>
        <v>#VALUE!</v>
      </c>
      <c r="H30" s="318" t="e">
        <f>C30/Stoff!$G30</f>
        <v>#VALUE!</v>
      </c>
      <c r="I30" s="318" t="e">
        <f>D30/Stoff!$G30</f>
        <v>#VALUE!</v>
      </c>
      <c r="J30" s="318" t="e">
        <f>E30/Stoff!$G30</f>
        <v>#VALUE!</v>
      </c>
      <c r="K30" s="319" t="e">
        <f>Mellomregninger!EW30</f>
        <v>#VALUE!</v>
      </c>
      <c r="L30" s="318" t="e">
        <f>F30/Stoff!$G30</f>
        <v>#VALUE!</v>
      </c>
      <c r="M30" s="318" t="str">
        <f>IF(Mellomregninger!B30="","",Mellomregninger!S30)</f>
        <v/>
      </c>
      <c r="N30" s="320" t="e">
        <f>Mellomregninger!DC30+Mellomregninger!DK30</f>
        <v>#VALUE!</v>
      </c>
      <c r="O30" s="318" t="e">
        <f>Mellomregninger!DO30+Mellomregninger!DW30</f>
        <v>#VALUE!</v>
      </c>
      <c r="P30" s="318" t="e">
        <f>Mellomregninger!EA30+Mellomregninger!EI30</f>
        <v>#VALUE!</v>
      </c>
      <c r="Q30" s="318" t="e">
        <f>Mellomregninger!EX30</f>
        <v>#VALUE!</v>
      </c>
      <c r="R30" s="318" t="e">
        <f>Mellomregninger!EM30+Mellomregninger!EP30</f>
        <v>#VALUE!</v>
      </c>
    </row>
    <row r="31" spans="1:18" x14ac:dyDescent="0.35">
      <c r="A31" s="239" t="s">
        <v>179</v>
      </c>
      <c r="B31" s="317" t="str">
        <f>IF(Mellomregninger!B31="","",IF(ISNUMBER('1f. Kons. resipient'!E31),'1f. Kons. resipient'!E31*1000,0))</f>
        <v/>
      </c>
      <c r="C31" s="317" t="e">
        <f>Mellomregninger!DJ31</f>
        <v>#VALUE!</v>
      </c>
      <c r="D31" s="317" t="e">
        <f>Mellomregninger!DV31</f>
        <v>#VALUE!</v>
      </c>
      <c r="E31" s="317" t="e">
        <f>Mellomregninger!EH31</f>
        <v>#VALUE!</v>
      </c>
      <c r="F31" s="317" t="e">
        <f>Mellomregninger!EV31</f>
        <v>#VALUE!</v>
      </c>
      <c r="G31" s="318" t="e">
        <f>B31/Stoff!$G31</f>
        <v>#VALUE!</v>
      </c>
      <c r="H31" s="318" t="e">
        <f>C31/Stoff!$G31</f>
        <v>#VALUE!</v>
      </c>
      <c r="I31" s="318" t="e">
        <f>D31/Stoff!$G31</f>
        <v>#VALUE!</v>
      </c>
      <c r="J31" s="318" t="e">
        <f>E31/Stoff!$G31</f>
        <v>#VALUE!</v>
      </c>
      <c r="K31" s="319" t="e">
        <f>Mellomregninger!EW31</f>
        <v>#VALUE!</v>
      </c>
      <c r="L31" s="318" t="e">
        <f>F31/Stoff!$G31</f>
        <v>#VALUE!</v>
      </c>
      <c r="M31" s="318" t="str">
        <f>IF(Mellomregninger!B31="","",Mellomregninger!S31)</f>
        <v/>
      </c>
      <c r="N31" s="320" t="e">
        <f>Mellomregninger!DC31+Mellomregninger!DK31</f>
        <v>#VALUE!</v>
      </c>
      <c r="O31" s="318" t="e">
        <f>Mellomregninger!DO31+Mellomregninger!DW31</f>
        <v>#VALUE!</v>
      </c>
      <c r="P31" s="318" t="e">
        <f>Mellomregninger!EA31+Mellomregninger!EI31</f>
        <v>#VALUE!</v>
      </c>
      <c r="Q31" s="318" t="e">
        <f>Mellomregninger!EX31</f>
        <v>#VALUE!</v>
      </c>
      <c r="R31" s="318" t="e">
        <f>Mellomregninger!EM31+Mellomregninger!EP31</f>
        <v>#VALUE!</v>
      </c>
    </row>
    <row r="32" spans="1:18" x14ac:dyDescent="0.35">
      <c r="A32" s="239" t="s">
        <v>178</v>
      </c>
      <c r="B32" s="317" t="str">
        <f>IF(Mellomregninger!B32="","",IF(ISNUMBER('1f. Kons. resipient'!E32),'1f. Kons. resipient'!E32*1000,0))</f>
        <v/>
      </c>
      <c r="C32" s="317" t="e">
        <f>Mellomregninger!DJ32</f>
        <v>#VALUE!</v>
      </c>
      <c r="D32" s="317" t="e">
        <f>Mellomregninger!DV32</f>
        <v>#VALUE!</v>
      </c>
      <c r="E32" s="317" t="e">
        <f>Mellomregninger!EH32</f>
        <v>#VALUE!</v>
      </c>
      <c r="F32" s="317" t="e">
        <f>Mellomregninger!EV32</f>
        <v>#VALUE!</v>
      </c>
      <c r="G32" s="318" t="e">
        <f>B32/Stoff!$G32</f>
        <v>#VALUE!</v>
      </c>
      <c r="H32" s="318" t="e">
        <f>C32/Stoff!$G32</f>
        <v>#VALUE!</v>
      </c>
      <c r="I32" s="318" t="e">
        <f>D32/Stoff!$G32</f>
        <v>#VALUE!</v>
      </c>
      <c r="J32" s="318" t="e">
        <f>E32/Stoff!$G32</f>
        <v>#VALUE!</v>
      </c>
      <c r="K32" s="319" t="e">
        <f>Mellomregninger!EW32</f>
        <v>#VALUE!</v>
      </c>
      <c r="L32" s="318" t="e">
        <f>F32/Stoff!$G32</f>
        <v>#VALUE!</v>
      </c>
      <c r="M32" s="318" t="str">
        <f>IF(Mellomregninger!B32="","",Mellomregninger!S32)</f>
        <v/>
      </c>
      <c r="N32" s="320" t="e">
        <f>Mellomregninger!DC32+Mellomregninger!DK32</f>
        <v>#VALUE!</v>
      </c>
      <c r="O32" s="318" t="e">
        <f>Mellomregninger!DO32+Mellomregninger!DW32</f>
        <v>#VALUE!</v>
      </c>
      <c r="P32" s="318" t="e">
        <f>Mellomregninger!EA32+Mellomregninger!EI32</f>
        <v>#VALUE!</v>
      </c>
      <c r="Q32" s="318" t="e">
        <f>Mellomregninger!EX32</f>
        <v>#VALUE!</v>
      </c>
      <c r="R32" s="318" t="e">
        <f>Mellomregninger!EM32+Mellomregninger!EP32</f>
        <v>#VALUE!</v>
      </c>
    </row>
    <row r="33" spans="1:18" x14ac:dyDescent="0.35">
      <c r="A33" s="239" t="s">
        <v>177</v>
      </c>
      <c r="B33" s="317" t="str">
        <f>IF(Mellomregninger!B33="","",IF(ISNUMBER('1f. Kons. resipient'!E33),'1f. Kons. resipient'!E33*1000,0))</f>
        <v/>
      </c>
      <c r="C33" s="317" t="e">
        <f>Mellomregninger!DJ33</f>
        <v>#VALUE!</v>
      </c>
      <c r="D33" s="317" t="e">
        <f>Mellomregninger!DV33</f>
        <v>#VALUE!</v>
      </c>
      <c r="E33" s="317" t="e">
        <f>Mellomregninger!EH33</f>
        <v>#VALUE!</v>
      </c>
      <c r="F33" s="317" t="e">
        <f>Mellomregninger!EV33</f>
        <v>#VALUE!</v>
      </c>
      <c r="G33" s="318" t="e">
        <f>B33/Stoff!$G33</f>
        <v>#VALUE!</v>
      </c>
      <c r="H33" s="318" t="e">
        <f>C33/Stoff!$G33</f>
        <v>#VALUE!</v>
      </c>
      <c r="I33" s="318" t="e">
        <f>D33/Stoff!$G33</f>
        <v>#VALUE!</v>
      </c>
      <c r="J33" s="318" t="e">
        <f>E33/Stoff!$G33</f>
        <v>#VALUE!</v>
      </c>
      <c r="K33" s="319" t="e">
        <f>Mellomregninger!EW33</f>
        <v>#VALUE!</v>
      </c>
      <c r="L33" s="318" t="e">
        <f>F33/Stoff!$G33</f>
        <v>#VALUE!</v>
      </c>
      <c r="M33" s="318" t="str">
        <f>IF(Mellomregninger!B33="","",Mellomregninger!S33)</f>
        <v/>
      </c>
      <c r="N33" s="320" t="e">
        <f>Mellomregninger!DC33+Mellomregninger!DK33</f>
        <v>#VALUE!</v>
      </c>
      <c r="O33" s="318" t="e">
        <f>Mellomregninger!DO33+Mellomregninger!DW33</f>
        <v>#VALUE!</v>
      </c>
      <c r="P33" s="318" t="e">
        <f>Mellomregninger!EA33+Mellomregninger!EI33</f>
        <v>#VALUE!</v>
      </c>
      <c r="Q33" s="318" t="e">
        <f>Mellomregninger!EX33</f>
        <v>#VALUE!</v>
      </c>
      <c r="R33" s="318" t="e">
        <f>Mellomregninger!EM33+Mellomregninger!EP33</f>
        <v>#VALUE!</v>
      </c>
    </row>
    <row r="34" spans="1:18" x14ac:dyDescent="0.35">
      <c r="A34" s="239" t="s">
        <v>176</v>
      </c>
      <c r="B34" s="317" t="str">
        <f>IF(Mellomregninger!B34="","",IF(ISNUMBER('1f. Kons. resipient'!E34),'1f. Kons. resipient'!E34*1000,0))</f>
        <v/>
      </c>
      <c r="C34" s="317" t="e">
        <f>Mellomregninger!DJ34</f>
        <v>#VALUE!</v>
      </c>
      <c r="D34" s="317" t="e">
        <f>Mellomregninger!DV34</f>
        <v>#VALUE!</v>
      </c>
      <c r="E34" s="317" t="e">
        <f>Mellomregninger!EH34</f>
        <v>#VALUE!</v>
      </c>
      <c r="F34" s="317" t="e">
        <f>Mellomregninger!EV34</f>
        <v>#VALUE!</v>
      </c>
      <c r="G34" s="318" t="e">
        <f>B34/Stoff!$G34</f>
        <v>#VALUE!</v>
      </c>
      <c r="H34" s="318" t="e">
        <f>C34/Stoff!$G34</f>
        <v>#VALUE!</v>
      </c>
      <c r="I34" s="318" t="e">
        <f>D34/Stoff!$G34</f>
        <v>#VALUE!</v>
      </c>
      <c r="J34" s="318" t="e">
        <f>E34/Stoff!$G34</f>
        <v>#VALUE!</v>
      </c>
      <c r="K34" s="319" t="e">
        <f>Mellomregninger!EW34</f>
        <v>#VALUE!</v>
      </c>
      <c r="L34" s="318" t="e">
        <f>F34/Stoff!$G34</f>
        <v>#VALUE!</v>
      </c>
      <c r="M34" s="318" t="str">
        <f>IF(Mellomregninger!B34="","",Mellomregninger!S34)</f>
        <v/>
      </c>
      <c r="N34" s="320" t="e">
        <f>Mellomregninger!DC34+Mellomregninger!DK34</f>
        <v>#VALUE!</v>
      </c>
      <c r="O34" s="318" t="e">
        <f>Mellomregninger!DO34+Mellomregninger!DW34</f>
        <v>#VALUE!</v>
      </c>
      <c r="P34" s="318" t="e">
        <f>Mellomregninger!EA34+Mellomregninger!EI34</f>
        <v>#VALUE!</v>
      </c>
      <c r="Q34" s="318" t="e">
        <f>Mellomregninger!EX34</f>
        <v>#VALUE!</v>
      </c>
      <c r="R34" s="318" t="e">
        <f>Mellomregninger!EM34+Mellomregninger!EP34</f>
        <v>#VALUE!</v>
      </c>
    </row>
    <row r="35" spans="1:18" x14ac:dyDescent="0.35">
      <c r="A35" s="239" t="s">
        <v>175</v>
      </c>
      <c r="B35" s="317" t="str">
        <f>IF(Mellomregninger!B35="","",IF(ISNUMBER('1f. Kons. resipient'!E35),'1f. Kons. resipient'!E35*1000,0))</f>
        <v/>
      </c>
      <c r="C35" s="317" t="e">
        <f>Mellomregninger!DJ35</f>
        <v>#VALUE!</v>
      </c>
      <c r="D35" s="317" t="e">
        <f>Mellomregninger!DV35</f>
        <v>#VALUE!</v>
      </c>
      <c r="E35" s="317" t="e">
        <f>Mellomregninger!EH35</f>
        <v>#VALUE!</v>
      </c>
      <c r="F35" s="317" t="e">
        <f>Mellomregninger!EV35</f>
        <v>#VALUE!</v>
      </c>
      <c r="G35" s="318" t="e">
        <f>B35/Stoff!$G35</f>
        <v>#VALUE!</v>
      </c>
      <c r="H35" s="318" t="e">
        <f>C35/Stoff!$G35</f>
        <v>#VALUE!</v>
      </c>
      <c r="I35" s="318" t="e">
        <f>D35/Stoff!$G35</f>
        <v>#VALUE!</v>
      </c>
      <c r="J35" s="318" t="e">
        <f>E35/Stoff!$G35</f>
        <v>#VALUE!</v>
      </c>
      <c r="K35" s="319" t="e">
        <f>Mellomregninger!EW35</f>
        <v>#VALUE!</v>
      </c>
      <c r="L35" s="318" t="e">
        <f>F35/Stoff!$G35</f>
        <v>#VALUE!</v>
      </c>
      <c r="M35" s="318" t="str">
        <f>IF(Mellomregninger!B35="","",Mellomregninger!S35)</f>
        <v/>
      </c>
      <c r="N35" s="320" t="e">
        <f>Mellomregninger!DC35+Mellomregninger!DK35</f>
        <v>#VALUE!</v>
      </c>
      <c r="O35" s="318" t="e">
        <f>Mellomregninger!DO35+Mellomregninger!DW35</f>
        <v>#VALUE!</v>
      </c>
      <c r="P35" s="318" t="e">
        <f>Mellomregninger!EA35+Mellomregninger!EI35</f>
        <v>#VALUE!</v>
      </c>
      <c r="Q35" s="318" t="e">
        <f>Mellomregninger!EX35</f>
        <v>#VALUE!</v>
      </c>
      <c r="R35" s="318" t="e">
        <f>Mellomregninger!EM35+Mellomregninger!EP35</f>
        <v>#VALUE!</v>
      </c>
    </row>
    <row r="36" spans="1:18" x14ac:dyDescent="0.35">
      <c r="A36" s="239" t="s">
        <v>174</v>
      </c>
      <c r="B36" s="317" t="str">
        <f>IF(Mellomregninger!B36="","",IF(ISNUMBER('1f. Kons. resipient'!E36),'1f. Kons. resipient'!E36*1000,0))</f>
        <v/>
      </c>
      <c r="C36" s="317" t="e">
        <f>Mellomregninger!DJ36</f>
        <v>#VALUE!</v>
      </c>
      <c r="D36" s="317" t="e">
        <f>Mellomregninger!DV36</f>
        <v>#VALUE!</v>
      </c>
      <c r="E36" s="317" t="e">
        <f>Mellomregninger!EH36</f>
        <v>#VALUE!</v>
      </c>
      <c r="F36" s="317" t="e">
        <f>Mellomregninger!EV36</f>
        <v>#VALUE!</v>
      </c>
      <c r="G36" s="318" t="e">
        <f>B36/Stoff!$G36</f>
        <v>#VALUE!</v>
      </c>
      <c r="H36" s="318" t="e">
        <f>C36/Stoff!$G36</f>
        <v>#VALUE!</v>
      </c>
      <c r="I36" s="318" t="e">
        <f>D36/Stoff!$G36</f>
        <v>#VALUE!</v>
      </c>
      <c r="J36" s="318" t="e">
        <f>E36/Stoff!$G36</f>
        <v>#VALUE!</v>
      </c>
      <c r="K36" s="319" t="e">
        <f>Mellomregninger!EW36</f>
        <v>#VALUE!</v>
      </c>
      <c r="L36" s="318" t="e">
        <f>F36/Stoff!$G36</f>
        <v>#VALUE!</v>
      </c>
      <c r="M36" s="318" t="str">
        <f>IF(Mellomregninger!B36="","",Mellomregninger!S36)</f>
        <v/>
      </c>
      <c r="N36" s="320" t="e">
        <f>Mellomregninger!DC36+Mellomregninger!DK36</f>
        <v>#VALUE!</v>
      </c>
      <c r="O36" s="318" t="e">
        <f>Mellomregninger!DO36+Mellomregninger!DW36</f>
        <v>#VALUE!</v>
      </c>
      <c r="P36" s="318" t="e">
        <f>Mellomregninger!EA36+Mellomregninger!EI36</f>
        <v>#VALUE!</v>
      </c>
      <c r="Q36" s="318" t="e">
        <f>Mellomregninger!EX36</f>
        <v>#VALUE!</v>
      </c>
      <c r="R36" s="318" t="e">
        <f>Mellomregninger!EM36+Mellomregninger!EP36</f>
        <v>#VALUE!</v>
      </c>
    </row>
    <row r="37" spans="1:18" x14ac:dyDescent="0.35">
      <c r="A37" s="239" t="s">
        <v>173</v>
      </c>
      <c r="B37" s="317" t="str">
        <f>IF(Mellomregninger!B37="","",IF(ISNUMBER('1f. Kons. resipient'!E37),'1f. Kons. resipient'!E37*1000,0))</f>
        <v/>
      </c>
      <c r="C37" s="317" t="e">
        <f>Mellomregninger!DJ37</f>
        <v>#VALUE!</v>
      </c>
      <c r="D37" s="317" t="e">
        <f>Mellomregninger!DV37</f>
        <v>#VALUE!</v>
      </c>
      <c r="E37" s="317" t="e">
        <f>Mellomregninger!EH37</f>
        <v>#VALUE!</v>
      </c>
      <c r="F37" s="317" t="e">
        <f>Mellomregninger!EV37</f>
        <v>#VALUE!</v>
      </c>
      <c r="G37" s="318" t="e">
        <f>B37/Stoff!$G37</f>
        <v>#VALUE!</v>
      </c>
      <c r="H37" s="318" t="e">
        <f>C37/Stoff!$G37</f>
        <v>#VALUE!</v>
      </c>
      <c r="I37" s="318" t="e">
        <f>D37/Stoff!$G37</f>
        <v>#VALUE!</v>
      </c>
      <c r="J37" s="318" t="e">
        <f>E37/Stoff!$G37</f>
        <v>#VALUE!</v>
      </c>
      <c r="K37" s="319" t="e">
        <f>Mellomregninger!EW37</f>
        <v>#VALUE!</v>
      </c>
      <c r="L37" s="318" t="e">
        <f>F37/Stoff!$G37</f>
        <v>#VALUE!</v>
      </c>
      <c r="M37" s="318" t="str">
        <f>IF(Mellomregninger!B37="","",Mellomregninger!S37)</f>
        <v/>
      </c>
      <c r="N37" s="320" t="e">
        <f>Mellomregninger!DC37+Mellomregninger!DK37</f>
        <v>#VALUE!</v>
      </c>
      <c r="O37" s="318" t="e">
        <f>Mellomregninger!DO37+Mellomregninger!DW37</f>
        <v>#VALUE!</v>
      </c>
      <c r="P37" s="318" t="e">
        <f>Mellomregninger!EA37+Mellomregninger!EI37</f>
        <v>#VALUE!</v>
      </c>
      <c r="Q37" s="318" t="e">
        <f>Mellomregninger!EX37</f>
        <v>#VALUE!</v>
      </c>
      <c r="R37" s="318" t="e">
        <f>Mellomregninger!EM37+Mellomregninger!EP37</f>
        <v>#VALUE!</v>
      </c>
    </row>
    <row r="38" spans="1:18" x14ac:dyDescent="0.35">
      <c r="A38" s="239" t="s">
        <v>172</v>
      </c>
      <c r="B38" s="317" t="str">
        <f>IF(Mellomregninger!B38="","",IF(ISNUMBER('1f. Kons. resipient'!E38),'1f. Kons. resipient'!E38*1000,0))</f>
        <v/>
      </c>
      <c r="C38" s="317" t="e">
        <f>Mellomregninger!DJ38</f>
        <v>#VALUE!</v>
      </c>
      <c r="D38" s="317" t="e">
        <f>Mellomregninger!DV38</f>
        <v>#VALUE!</v>
      </c>
      <c r="E38" s="317" t="e">
        <f>Mellomregninger!EH38</f>
        <v>#VALUE!</v>
      </c>
      <c r="F38" s="317" t="e">
        <f>Mellomregninger!EV38</f>
        <v>#VALUE!</v>
      </c>
      <c r="G38" s="318" t="e">
        <f>B38/Stoff!$G38</f>
        <v>#VALUE!</v>
      </c>
      <c r="H38" s="318" t="e">
        <f>C38/Stoff!$G38</f>
        <v>#VALUE!</v>
      </c>
      <c r="I38" s="318" t="e">
        <f>D38/Stoff!$G38</f>
        <v>#VALUE!</v>
      </c>
      <c r="J38" s="318" t="e">
        <f>E38/Stoff!$G38</f>
        <v>#VALUE!</v>
      </c>
      <c r="K38" s="319" t="e">
        <f>Mellomregninger!EW38</f>
        <v>#VALUE!</v>
      </c>
      <c r="L38" s="318" t="e">
        <f>F38/Stoff!$G38</f>
        <v>#VALUE!</v>
      </c>
      <c r="M38" s="318" t="str">
        <f>IF(Mellomregninger!B38="","",Mellomregninger!S38)</f>
        <v/>
      </c>
      <c r="N38" s="320" t="e">
        <f>Mellomregninger!DC38+Mellomregninger!DK38</f>
        <v>#VALUE!</v>
      </c>
      <c r="O38" s="318" t="e">
        <f>Mellomregninger!DO38+Mellomregninger!DW38</f>
        <v>#VALUE!</v>
      </c>
      <c r="P38" s="318" t="e">
        <f>Mellomregninger!EA38+Mellomregninger!EI38</f>
        <v>#VALUE!</v>
      </c>
      <c r="Q38" s="318" t="e">
        <f>Mellomregninger!EX38</f>
        <v>#VALUE!</v>
      </c>
      <c r="R38" s="318" t="e">
        <f>Mellomregninger!EM38+Mellomregninger!EP38</f>
        <v>#VALUE!</v>
      </c>
    </row>
    <row r="39" spans="1:18" x14ac:dyDescent="0.35">
      <c r="A39" s="239" t="s">
        <v>171</v>
      </c>
      <c r="B39" s="317" t="str">
        <f>IF(Mellomregninger!B39="","",IF(ISNUMBER('1f. Kons. resipient'!E39),'1f. Kons. resipient'!E39*1000,0))</f>
        <v/>
      </c>
      <c r="C39" s="317" t="e">
        <f>Mellomregninger!DJ39</f>
        <v>#VALUE!</v>
      </c>
      <c r="D39" s="317" t="e">
        <f>Mellomregninger!DV39</f>
        <v>#VALUE!</v>
      </c>
      <c r="E39" s="317" t="e">
        <f>Mellomregninger!EH39</f>
        <v>#VALUE!</v>
      </c>
      <c r="F39" s="317" t="e">
        <f>Mellomregninger!EV39</f>
        <v>#VALUE!</v>
      </c>
      <c r="G39" s="318" t="e">
        <f>B39/Stoff!$G39</f>
        <v>#VALUE!</v>
      </c>
      <c r="H39" s="318" t="e">
        <f>C39/Stoff!$G39</f>
        <v>#VALUE!</v>
      </c>
      <c r="I39" s="318" t="e">
        <f>D39/Stoff!$G39</f>
        <v>#VALUE!</v>
      </c>
      <c r="J39" s="318" t="e">
        <f>E39/Stoff!$G39</f>
        <v>#VALUE!</v>
      </c>
      <c r="K39" s="319" t="e">
        <f>Mellomregninger!EW39</f>
        <v>#VALUE!</v>
      </c>
      <c r="L39" s="318" t="e">
        <f>F39/Stoff!$G39</f>
        <v>#VALUE!</v>
      </c>
      <c r="M39" s="318" t="str">
        <f>IF(Mellomregninger!B39="","",Mellomregninger!S39)</f>
        <v/>
      </c>
      <c r="N39" s="320" t="e">
        <f>Mellomregninger!DC39+Mellomregninger!DK39</f>
        <v>#VALUE!</v>
      </c>
      <c r="O39" s="318" t="e">
        <f>Mellomregninger!DO39+Mellomregninger!DW39</f>
        <v>#VALUE!</v>
      </c>
      <c r="P39" s="318" t="e">
        <f>Mellomregninger!EA39+Mellomregninger!EI39</f>
        <v>#VALUE!</v>
      </c>
      <c r="Q39" s="318" t="e">
        <f>Mellomregninger!EX39</f>
        <v>#VALUE!</v>
      </c>
      <c r="R39" s="318" t="e">
        <f>Mellomregninger!EM39+Mellomregninger!EP39</f>
        <v>#VALUE!</v>
      </c>
    </row>
    <row r="40" spans="1:18" x14ac:dyDescent="0.35">
      <c r="A40" s="239" t="s">
        <v>170</v>
      </c>
      <c r="B40" s="317" t="str">
        <f>IF(Mellomregninger!B40="","",IF(ISNUMBER('1f. Kons. resipient'!E40),'1f. Kons. resipient'!E40*1000,0))</f>
        <v/>
      </c>
      <c r="C40" s="317" t="e">
        <f>Mellomregninger!DJ40</f>
        <v>#VALUE!</v>
      </c>
      <c r="D40" s="317" t="e">
        <f>Mellomregninger!DV40</f>
        <v>#VALUE!</v>
      </c>
      <c r="E40" s="317" t="e">
        <f>Mellomregninger!EH40</f>
        <v>#VALUE!</v>
      </c>
      <c r="F40" s="317" t="e">
        <f>Mellomregninger!EV40</f>
        <v>#VALUE!</v>
      </c>
      <c r="G40" s="318" t="e">
        <f>B40/Stoff!$G40</f>
        <v>#VALUE!</v>
      </c>
      <c r="H40" s="318" t="e">
        <f>C40/Stoff!$G40</f>
        <v>#VALUE!</v>
      </c>
      <c r="I40" s="318" t="e">
        <f>D40/Stoff!$G40</f>
        <v>#VALUE!</v>
      </c>
      <c r="J40" s="318" t="e">
        <f>E40/Stoff!$G40</f>
        <v>#VALUE!</v>
      </c>
      <c r="K40" s="319" t="e">
        <f>Mellomregninger!EW40</f>
        <v>#VALUE!</v>
      </c>
      <c r="L40" s="318" t="e">
        <f>F40/Stoff!$G40</f>
        <v>#VALUE!</v>
      </c>
      <c r="M40" s="318" t="str">
        <f>IF(Mellomregninger!B40="","",Mellomregninger!S40)</f>
        <v/>
      </c>
      <c r="N40" s="320" t="e">
        <f>Mellomregninger!DC40+Mellomregninger!DK40</f>
        <v>#VALUE!</v>
      </c>
      <c r="O40" s="318" t="e">
        <f>Mellomregninger!DO40+Mellomregninger!DW40</f>
        <v>#VALUE!</v>
      </c>
      <c r="P40" s="318" t="e">
        <f>Mellomregninger!EA40+Mellomregninger!EI40</f>
        <v>#VALUE!</v>
      </c>
      <c r="Q40" s="318" t="e">
        <f>Mellomregninger!EX40</f>
        <v>#VALUE!</v>
      </c>
      <c r="R40" s="318" t="e">
        <f>Mellomregninger!EM40+Mellomregninger!EP40</f>
        <v>#VALUE!</v>
      </c>
    </row>
    <row r="41" spans="1:18" x14ac:dyDescent="0.35">
      <c r="A41" s="239" t="s">
        <v>169</v>
      </c>
      <c r="B41" s="317" t="str">
        <f>IF(Mellomregninger!B41="","",IF(ISNUMBER('1f. Kons. resipient'!E41),'1f. Kons. resipient'!E41*1000,0))</f>
        <v/>
      </c>
      <c r="C41" s="317" t="e">
        <f>Mellomregninger!DJ41</f>
        <v>#VALUE!</v>
      </c>
      <c r="D41" s="317" t="e">
        <f>Mellomregninger!DV41</f>
        <v>#VALUE!</v>
      </c>
      <c r="E41" s="317" t="e">
        <f>Mellomregninger!EH41</f>
        <v>#VALUE!</v>
      </c>
      <c r="F41" s="317" t="e">
        <f>Mellomregninger!EV41</f>
        <v>#VALUE!</v>
      </c>
      <c r="G41" s="318" t="e">
        <f>B41/Stoff!$G41</f>
        <v>#VALUE!</v>
      </c>
      <c r="H41" s="318" t="e">
        <f>C41/Stoff!$G41</f>
        <v>#VALUE!</v>
      </c>
      <c r="I41" s="318" t="e">
        <f>D41/Stoff!$G41</f>
        <v>#VALUE!</v>
      </c>
      <c r="J41" s="318" t="e">
        <f>E41/Stoff!$G41</f>
        <v>#VALUE!</v>
      </c>
      <c r="K41" s="319" t="e">
        <f>Mellomregninger!EW41</f>
        <v>#VALUE!</v>
      </c>
      <c r="L41" s="318" t="e">
        <f>F41/Stoff!$G41</f>
        <v>#VALUE!</v>
      </c>
      <c r="M41" s="318" t="str">
        <f>IF(Mellomregninger!B41="","",Mellomregninger!S41)</f>
        <v/>
      </c>
      <c r="N41" s="320" t="e">
        <f>Mellomregninger!DC41+Mellomregninger!DK41</f>
        <v>#VALUE!</v>
      </c>
      <c r="O41" s="318" t="e">
        <f>Mellomregninger!DO41+Mellomregninger!DW41</f>
        <v>#VALUE!</v>
      </c>
      <c r="P41" s="318" t="e">
        <f>Mellomregninger!EA41+Mellomregninger!EI41</f>
        <v>#VALUE!</v>
      </c>
      <c r="Q41" s="318" t="e">
        <f>Mellomregninger!EX41</f>
        <v>#VALUE!</v>
      </c>
      <c r="R41" s="318" t="e">
        <f>Mellomregninger!EM41+Mellomregninger!EP41</f>
        <v>#VALUE!</v>
      </c>
    </row>
    <row r="42" spans="1:18" x14ac:dyDescent="0.35">
      <c r="A42" s="239" t="s">
        <v>168</v>
      </c>
      <c r="B42" s="317" t="str">
        <f>IF(Mellomregninger!B42="","",IF(ISNUMBER('1f. Kons. resipient'!E42),'1f. Kons. resipient'!E42*1000,0))</f>
        <v/>
      </c>
      <c r="C42" s="317" t="e">
        <f>Mellomregninger!DJ42</f>
        <v>#VALUE!</v>
      </c>
      <c r="D42" s="317" t="e">
        <f>Mellomregninger!DV42</f>
        <v>#VALUE!</v>
      </c>
      <c r="E42" s="317" t="e">
        <f>Mellomregninger!EH42</f>
        <v>#VALUE!</v>
      </c>
      <c r="F42" s="317" t="e">
        <f>Mellomregninger!EV42</f>
        <v>#VALUE!</v>
      </c>
      <c r="G42" s="318" t="e">
        <f>B42/Stoff!$G42</f>
        <v>#VALUE!</v>
      </c>
      <c r="H42" s="318" t="e">
        <f>C42/Stoff!$G42</f>
        <v>#VALUE!</v>
      </c>
      <c r="I42" s="318" t="e">
        <f>D42/Stoff!$G42</f>
        <v>#VALUE!</v>
      </c>
      <c r="J42" s="318" t="e">
        <f>E42/Stoff!$G42</f>
        <v>#VALUE!</v>
      </c>
      <c r="K42" s="319" t="e">
        <f>Mellomregninger!EW42</f>
        <v>#VALUE!</v>
      </c>
      <c r="L42" s="318" t="e">
        <f>F42/Stoff!$G42</f>
        <v>#VALUE!</v>
      </c>
      <c r="M42" s="318" t="str">
        <f>IF(Mellomregninger!B42="","",Mellomregninger!S42)</f>
        <v/>
      </c>
      <c r="N42" s="320" t="e">
        <f>Mellomregninger!DC42+Mellomregninger!DK42</f>
        <v>#VALUE!</v>
      </c>
      <c r="O42" s="318" t="e">
        <f>Mellomregninger!DO42+Mellomregninger!DW42</f>
        <v>#VALUE!</v>
      </c>
      <c r="P42" s="318" t="e">
        <f>Mellomregninger!EA42+Mellomregninger!EI42</f>
        <v>#VALUE!</v>
      </c>
      <c r="Q42" s="318" t="e">
        <f>Mellomregninger!EX42</f>
        <v>#VALUE!</v>
      </c>
      <c r="R42" s="318" t="e">
        <f>Mellomregninger!EM42+Mellomregninger!EP42</f>
        <v>#VALUE!</v>
      </c>
    </row>
    <row r="43" spans="1:18" x14ac:dyDescent="0.35">
      <c r="A43" s="239" t="s">
        <v>167</v>
      </c>
      <c r="B43" s="317" t="str">
        <f>IF(Mellomregninger!B43="","",IF(ISNUMBER('1f. Kons. resipient'!E43),'1f. Kons. resipient'!E43*1000,0))</f>
        <v/>
      </c>
      <c r="C43" s="317" t="e">
        <f>Mellomregninger!DJ43</f>
        <v>#VALUE!</v>
      </c>
      <c r="D43" s="317" t="e">
        <f>Mellomregninger!DV43</f>
        <v>#VALUE!</v>
      </c>
      <c r="E43" s="317" t="e">
        <f>Mellomregninger!EH43</f>
        <v>#VALUE!</v>
      </c>
      <c r="F43" s="317" t="e">
        <f>Mellomregninger!EV43</f>
        <v>#VALUE!</v>
      </c>
      <c r="G43" s="318" t="e">
        <f>B43/Stoff!$G43</f>
        <v>#VALUE!</v>
      </c>
      <c r="H43" s="318" t="e">
        <f>C43/Stoff!$G43</f>
        <v>#VALUE!</v>
      </c>
      <c r="I43" s="318" t="e">
        <f>D43/Stoff!$G43</f>
        <v>#VALUE!</v>
      </c>
      <c r="J43" s="318" t="e">
        <f>E43/Stoff!$G43</f>
        <v>#VALUE!</v>
      </c>
      <c r="K43" s="319" t="e">
        <f>Mellomregninger!EW43</f>
        <v>#VALUE!</v>
      </c>
      <c r="L43" s="318" t="e">
        <f>F43/Stoff!$G43</f>
        <v>#VALUE!</v>
      </c>
      <c r="M43" s="318" t="str">
        <f>IF(Mellomregninger!B43="","",Mellomregninger!S43)</f>
        <v/>
      </c>
      <c r="N43" s="320" t="e">
        <f>Mellomregninger!DC43+Mellomregninger!DK43</f>
        <v>#VALUE!</v>
      </c>
      <c r="O43" s="318" t="e">
        <f>Mellomregninger!DO43+Mellomregninger!DW43</f>
        <v>#VALUE!</v>
      </c>
      <c r="P43" s="318" t="e">
        <f>Mellomregninger!EA43+Mellomregninger!EI43</f>
        <v>#VALUE!</v>
      </c>
      <c r="Q43" s="318" t="e">
        <f>Mellomregninger!EX43</f>
        <v>#VALUE!</v>
      </c>
      <c r="R43" s="318" t="e">
        <f>Mellomregninger!EM43+Mellomregninger!EP43</f>
        <v>#VALUE!</v>
      </c>
    </row>
    <row r="44" spans="1:18" x14ac:dyDescent="0.35">
      <c r="A44" s="239" t="s">
        <v>166</v>
      </c>
      <c r="B44" s="317" t="str">
        <f>IF(Mellomregninger!B44="","",IF(ISNUMBER('1f. Kons. resipient'!E44),'1f. Kons. resipient'!E44*1000,0))</f>
        <v/>
      </c>
      <c r="C44" s="317" t="e">
        <f>Mellomregninger!DJ44</f>
        <v>#VALUE!</v>
      </c>
      <c r="D44" s="317" t="e">
        <f>Mellomregninger!DV44</f>
        <v>#VALUE!</v>
      </c>
      <c r="E44" s="317" t="e">
        <f>Mellomregninger!EH44</f>
        <v>#VALUE!</v>
      </c>
      <c r="F44" s="317" t="e">
        <f>Mellomregninger!EV44</f>
        <v>#VALUE!</v>
      </c>
      <c r="G44" s="318" t="e">
        <f>B44/Stoff!$G44</f>
        <v>#VALUE!</v>
      </c>
      <c r="H44" s="318" t="e">
        <f>C44/Stoff!$G44</f>
        <v>#VALUE!</v>
      </c>
      <c r="I44" s="318" t="e">
        <f>D44/Stoff!$G44</f>
        <v>#VALUE!</v>
      </c>
      <c r="J44" s="318" t="e">
        <f>E44/Stoff!$G44</f>
        <v>#VALUE!</v>
      </c>
      <c r="K44" s="319" t="e">
        <f>Mellomregninger!EW44</f>
        <v>#VALUE!</v>
      </c>
      <c r="L44" s="318" t="e">
        <f>F44/Stoff!$G44</f>
        <v>#VALUE!</v>
      </c>
      <c r="M44" s="318" t="str">
        <f>IF(Mellomregninger!B44="","",Mellomregninger!S44)</f>
        <v/>
      </c>
      <c r="N44" s="320" t="e">
        <f>Mellomregninger!DC44+Mellomregninger!DK44</f>
        <v>#VALUE!</v>
      </c>
      <c r="O44" s="318" t="e">
        <f>Mellomregninger!DO44+Mellomregninger!DW44</f>
        <v>#VALUE!</v>
      </c>
      <c r="P44" s="318" t="e">
        <f>Mellomregninger!EA44+Mellomregninger!EI44</f>
        <v>#VALUE!</v>
      </c>
      <c r="Q44" s="318" t="e">
        <f>Mellomregninger!EX44</f>
        <v>#VALUE!</v>
      </c>
      <c r="R44" s="318" t="e">
        <f>Mellomregninger!EM44+Mellomregninger!EP44</f>
        <v>#VALUE!</v>
      </c>
    </row>
    <row r="45" spans="1:18" x14ac:dyDescent="0.35">
      <c r="A45" s="239" t="s">
        <v>165</v>
      </c>
      <c r="B45" s="317" t="str">
        <f>IF(Mellomregninger!B45="","",IF(ISNUMBER('1f. Kons. resipient'!E45),'1f. Kons. resipient'!E45*1000,0))</f>
        <v/>
      </c>
      <c r="C45" s="317" t="e">
        <f>Mellomregninger!DJ45</f>
        <v>#VALUE!</v>
      </c>
      <c r="D45" s="317" t="e">
        <f>Mellomregninger!DV45</f>
        <v>#VALUE!</v>
      </c>
      <c r="E45" s="317" t="e">
        <f>Mellomregninger!EH45</f>
        <v>#VALUE!</v>
      </c>
      <c r="F45" s="317" t="e">
        <f>Mellomregninger!EV45</f>
        <v>#VALUE!</v>
      </c>
      <c r="G45" s="318" t="e">
        <f>B45/Stoff!$G45</f>
        <v>#VALUE!</v>
      </c>
      <c r="H45" s="318" t="e">
        <f>C45/Stoff!$G45</f>
        <v>#VALUE!</v>
      </c>
      <c r="I45" s="318" t="e">
        <f>D45/Stoff!$G45</f>
        <v>#VALUE!</v>
      </c>
      <c r="J45" s="318" t="e">
        <f>E45/Stoff!$G45</f>
        <v>#VALUE!</v>
      </c>
      <c r="K45" s="319" t="e">
        <f>Mellomregninger!EW45</f>
        <v>#VALUE!</v>
      </c>
      <c r="L45" s="318" t="e">
        <f>F45/Stoff!$G45</f>
        <v>#VALUE!</v>
      </c>
      <c r="M45" s="318" t="str">
        <f>IF(Mellomregninger!B45="","",Mellomregninger!S45)</f>
        <v/>
      </c>
      <c r="N45" s="320" t="e">
        <f>Mellomregninger!DC45+Mellomregninger!DK45</f>
        <v>#VALUE!</v>
      </c>
      <c r="O45" s="318" t="e">
        <f>Mellomregninger!DO45+Mellomregninger!DW45</f>
        <v>#VALUE!</v>
      </c>
      <c r="P45" s="318" t="e">
        <f>Mellomregninger!EA45+Mellomregninger!EI45</f>
        <v>#VALUE!</v>
      </c>
      <c r="Q45" s="318" t="e">
        <f>Mellomregninger!EX45</f>
        <v>#VALUE!</v>
      </c>
      <c r="R45" s="318" t="e">
        <f>Mellomregninger!EM45+Mellomregninger!EP45</f>
        <v>#VALUE!</v>
      </c>
    </row>
    <row r="46" spans="1:18" x14ac:dyDescent="0.35">
      <c r="A46" s="239" t="s">
        <v>164</v>
      </c>
      <c r="B46" s="317" t="str">
        <f>IF(Mellomregninger!B46="","",IF(ISNUMBER('1f. Kons. resipient'!E46),'1f. Kons. resipient'!E46*1000,0))</f>
        <v/>
      </c>
      <c r="C46" s="317" t="e">
        <f>Mellomregninger!DJ46</f>
        <v>#VALUE!</v>
      </c>
      <c r="D46" s="317" t="e">
        <f>Mellomregninger!DV46</f>
        <v>#VALUE!</v>
      </c>
      <c r="E46" s="317" t="e">
        <f>Mellomregninger!EH46</f>
        <v>#VALUE!</v>
      </c>
      <c r="F46" s="317" t="e">
        <f>Mellomregninger!EV46</f>
        <v>#VALUE!</v>
      </c>
      <c r="G46" s="318" t="e">
        <f>B46/Stoff!$G46</f>
        <v>#VALUE!</v>
      </c>
      <c r="H46" s="318" t="e">
        <f>C46/Stoff!$G46</f>
        <v>#VALUE!</v>
      </c>
      <c r="I46" s="318" t="e">
        <f>D46/Stoff!$G46</f>
        <v>#VALUE!</v>
      </c>
      <c r="J46" s="318" t="e">
        <f>E46/Stoff!$G46</f>
        <v>#VALUE!</v>
      </c>
      <c r="K46" s="319" t="e">
        <f>Mellomregninger!EW46</f>
        <v>#VALUE!</v>
      </c>
      <c r="L46" s="318" t="e">
        <f>F46/Stoff!$G46</f>
        <v>#VALUE!</v>
      </c>
      <c r="M46" s="318" t="str">
        <f>IF(Mellomregninger!B46="","",Mellomregninger!S46)</f>
        <v/>
      </c>
      <c r="N46" s="320" t="e">
        <f>Mellomregninger!DC46+Mellomregninger!DK46</f>
        <v>#VALUE!</v>
      </c>
      <c r="O46" s="318" t="e">
        <f>Mellomregninger!DO46+Mellomregninger!DW46</f>
        <v>#VALUE!</v>
      </c>
      <c r="P46" s="318" t="e">
        <f>Mellomregninger!EA46+Mellomregninger!EI46</f>
        <v>#VALUE!</v>
      </c>
      <c r="Q46" s="318" t="e">
        <f>Mellomregninger!EX46</f>
        <v>#VALUE!</v>
      </c>
      <c r="R46" s="318" t="e">
        <f>Mellomregninger!EM46+Mellomregninger!EP46</f>
        <v>#VALUE!</v>
      </c>
    </row>
    <row r="47" spans="1:18" x14ac:dyDescent="0.35">
      <c r="A47" s="239" t="s">
        <v>163</v>
      </c>
      <c r="B47" s="317" t="str">
        <f>IF(Mellomregninger!B47="","",IF(ISNUMBER('1f. Kons. resipient'!E47),'1f. Kons. resipient'!E47*1000,0))</f>
        <v/>
      </c>
      <c r="C47" s="317" t="e">
        <f>Mellomregninger!DJ47</f>
        <v>#VALUE!</v>
      </c>
      <c r="D47" s="317" t="e">
        <f>Mellomregninger!DV47</f>
        <v>#VALUE!</v>
      </c>
      <c r="E47" s="317" t="e">
        <f>Mellomregninger!EH47</f>
        <v>#VALUE!</v>
      </c>
      <c r="F47" s="317" t="e">
        <f>Mellomregninger!EV47</f>
        <v>#VALUE!</v>
      </c>
      <c r="G47" s="318" t="e">
        <f>B47/Stoff!$G47</f>
        <v>#VALUE!</v>
      </c>
      <c r="H47" s="318" t="e">
        <f>C47/Stoff!$G47</f>
        <v>#VALUE!</v>
      </c>
      <c r="I47" s="318" t="e">
        <f>D47/Stoff!$G47</f>
        <v>#VALUE!</v>
      </c>
      <c r="J47" s="318" t="e">
        <f>E47/Stoff!$G47</f>
        <v>#VALUE!</v>
      </c>
      <c r="K47" s="319" t="e">
        <f>Mellomregninger!EW47</f>
        <v>#VALUE!</v>
      </c>
      <c r="L47" s="318" t="e">
        <f>F47/Stoff!$G47</f>
        <v>#VALUE!</v>
      </c>
      <c r="M47" s="318" t="str">
        <f>IF(Mellomregninger!B47="","",Mellomregninger!S47)</f>
        <v/>
      </c>
      <c r="N47" s="320" t="e">
        <f>Mellomregninger!DC47+Mellomregninger!DK47</f>
        <v>#VALUE!</v>
      </c>
      <c r="O47" s="318" t="e">
        <f>Mellomregninger!DO47+Mellomregninger!DW47</f>
        <v>#VALUE!</v>
      </c>
      <c r="P47" s="318" t="e">
        <f>Mellomregninger!EA47+Mellomregninger!EI47</f>
        <v>#VALUE!</v>
      </c>
      <c r="Q47" s="318" t="e">
        <f>Mellomregninger!EX47</f>
        <v>#VALUE!</v>
      </c>
      <c r="R47" s="318" t="e">
        <f>Mellomregninger!EM47+Mellomregninger!EP47</f>
        <v>#VALUE!</v>
      </c>
    </row>
    <row r="48" spans="1:18" x14ac:dyDescent="0.35">
      <c r="A48" s="239" t="s">
        <v>162</v>
      </c>
      <c r="B48" s="317" t="str">
        <f>IF(Mellomregninger!B48="","",IF(ISNUMBER('1f. Kons. resipient'!E48),'1f. Kons. resipient'!E48*1000,0))</f>
        <v/>
      </c>
      <c r="C48" s="317" t="e">
        <f>Mellomregninger!DJ48</f>
        <v>#VALUE!</v>
      </c>
      <c r="D48" s="317" t="e">
        <f>Mellomregninger!DV48</f>
        <v>#VALUE!</v>
      </c>
      <c r="E48" s="317" t="e">
        <f>Mellomregninger!EH48</f>
        <v>#VALUE!</v>
      </c>
      <c r="F48" s="317" t="e">
        <f>Mellomregninger!EV48</f>
        <v>#VALUE!</v>
      </c>
      <c r="G48" s="318" t="e">
        <f>B48/Stoff!$G48</f>
        <v>#VALUE!</v>
      </c>
      <c r="H48" s="318" t="e">
        <f>C48/Stoff!$G48</f>
        <v>#VALUE!</v>
      </c>
      <c r="I48" s="318" t="e">
        <f>D48/Stoff!$G48</f>
        <v>#VALUE!</v>
      </c>
      <c r="J48" s="318" t="e">
        <f>E48/Stoff!$G48</f>
        <v>#VALUE!</v>
      </c>
      <c r="K48" s="319" t="e">
        <f>Mellomregninger!EW48</f>
        <v>#VALUE!</v>
      </c>
      <c r="L48" s="318" t="e">
        <f>F48/Stoff!$G48</f>
        <v>#VALUE!</v>
      </c>
      <c r="M48" s="318" t="str">
        <f>IF(Mellomregninger!B48="","",Mellomregninger!S48)</f>
        <v/>
      </c>
      <c r="N48" s="320" t="e">
        <f>Mellomregninger!DC48+Mellomregninger!DK48</f>
        <v>#VALUE!</v>
      </c>
      <c r="O48" s="318" t="e">
        <f>Mellomregninger!DO48+Mellomregninger!DW48</f>
        <v>#VALUE!</v>
      </c>
      <c r="P48" s="318" t="e">
        <f>Mellomregninger!EA48+Mellomregninger!EI48</f>
        <v>#VALUE!</v>
      </c>
      <c r="Q48" s="318" t="e">
        <f>Mellomregninger!EX48</f>
        <v>#VALUE!</v>
      </c>
      <c r="R48" s="318" t="e">
        <f>Mellomregninger!EM48+Mellomregninger!EP48</f>
        <v>#VALUE!</v>
      </c>
    </row>
    <row r="49" spans="1:18" x14ac:dyDescent="0.35">
      <c r="A49" s="239" t="s">
        <v>161</v>
      </c>
      <c r="B49" s="317" t="str">
        <f>IF(Mellomregninger!B49="","",IF(ISNUMBER('1f. Kons. resipient'!E49),'1f. Kons. resipient'!E49*1000,0))</f>
        <v/>
      </c>
      <c r="C49" s="317" t="e">
        <f>Mellomregninger!DJ49</f>
        <v>#VALUE!</v>
      </c>
      <c r="D49" s="317" t="e">
        <f>Mellomregninger!DV49</f>
        <v>#VALUE!</v>
      </c>
      <c r="E49" s="317" t="e">
        <f>Mellomregninger!EH49</f>
        <v>#VALUE!</v>
      </c>
      <c r="F49" s="317" t="e">
        <f>Mellomregninger!EV49</f>
        <v>#VALUE!</v>
      </c>
      <c r="G49" s="318" t="e">
        <f>B49/Stoff!$G49</f>
        <v>#VALUE!</v>
      </c>
      <c r="H49" s="318" t="e">
        <f>C49/Stoff!$G49</f>
        <v>#VALUE!</v>
      </c>
      <c r="I49" s="318" t="e">
        <f>D49/Stoff!$G49</f>
        <v>#VALUE!</v>
      </c>
      <c r="J49" s="318" t="e">
        <f>E49/Stoff!$G49</f>
        <v>#VALUE!</v>
      </c>
      <c r="K49" s="319" t="e">
        <f>Mellomregninger!EW49</f>
        <v>#VALUE!</v>
      </c>
      <c r="L49" s="318" t="e">
        <f>F49/Stoff!$G49</f>
        <v>#VALUE!</v>
      </c>
      <c r="M49" s="318" t="str">
        <f>IF(Mellomregninger!B49="","",Mellomregninger!S49)</f>
        <v/>
      </c>
      <c r="N49" s="320" t="e">
        <f>Mellomregninger!DC49+Mellomregninger!DK49</f>
        <v>#VALUE!</v>
      </c>
      <c r="O49" s="318" t="e">
        <f>Mellomregninger!DO49+Mellomregninger!DW49</f>
        <v>#VALUE!</v>
      </c>
      <c r="P49" s="318" t="e">
        <f>Mellomregninger!EA49+Mellomregninger!EI49</f>
        <v>#VALUE!</v>
      </c>
      <c r="Q49" s="318" t="e">
        <f>Mellomregninger!EX49</f>
        <v>#VALUE!</v>
      </c>
      <c r="R49" s="318" t="e">
        <f>Mellomregninger!EM49+Mellomregninger!EP49</f>
        <v>#VALUE!</v>
      </c>
    </row>
    <row r="50" spans="1:18" x14ac:dyDescent="0.35">
      <c r="A50" s="239" t="s">
        <v>160</v>
      </c>
      <c r="B50" s="317" t="str">
        <f>IF(Mellomregninger!B50="","",IF(ISNUMBER('1f. Kons. resipient'!E50),'1f. Kons. resipient'!E50*1000,0))</f>
        <v/>
      </c>
      <c r="C50" s="317" t="e">
        <f>Mellomregninger!DJ50</f>
        <v>#VALUE!</v>
      </c>
      <c r="D50" s="317" t="e">
        <f>Mellomregninger!DV50</f>
        <v>#VALUE!</v>
      </c>
      <c r="E50" s="317" t="e">
        <f>Mellomregninger!EH50</f>
        <v>#VALUE!</v>
      </c>
      <c r="F50" s="317" t="e">
        <f>Mellomregninger!EV50</f>
        <v>#VALUE!</v>
      </c>
      <c r="G50" s="318" t="e">
        <f>B50/Stoff!$G50</f>
        <v>#VALUE!</v>
      </c>
      <c r="H50" s="318" t="e">
        <f>C50/Stoff!$G50</f>
        <v>#VALUE!</v>
      </c>
      <c r="I50" s="318" t="e">
        <f>D50/Stoff!$G50</f>
        <v>#VALUE!</v>
      </c>
      <c r="J50" s="318" t="e">
        <f>E50/Stoff!$G50</f>
        <v>#VALUE!</v>
      </c>
      <c r="K50" s="319" t="e">
        <f>Mellomregninger!EW50</f>
        <v>#VALUE!</v>
      </c>
      <c r="L50" s="318" t="e">
        <f>F50/Stoff!$G50</f>
        <v>#VALUE!</v>
      </c>
      <c r="M50" s="318" t="str">
        <f>IF(Mellomregninger!B50="","",Mellomregninger!S50)</f>
        <v/>
      </c>
      <c r="N50" s="320" t="e">
        <f>Mellomregninger!DC50+Mellomregninger!DK50</f>
        <v>#VALUE!</v>
      </c>
      <c r="O50" s="318" t="e">
        <f>Mellomregninger!DO50+Mellomregninger!DW50</f>
        <v>#VALUE!</v>
      </c>
      <c r="P50" s="318" t="e">
        <f>Mellomregninger!EA50+Mellomregninger!EI50</f>
        <v>#VALUE!</v>
      </c>
      <c r="Q50" s="318" t="e">
        <f>Mellomregninger!EX50</f>
        <v>#VALUE!</v>
      </c>
      <c r="R50" s="318" t="e">
        <f>Mellomregninger!EM50+Mellomregninger!EP50</f>
        <v>#VALUE!</v>
      </c>
    </row>
    <row r="51" spans="1:18" x14ac:dyDescent="0.35">
      <c r="A51" s="239" t="s">
        <v>159</v>
      </c>
      <c r="B51" s="317" t="str">
        <f>IF(Mellomregninger!B51="","",IF(ISNUMBER('1f. Kons. resipient'!E51),'1f. Kons. resipient'!E51*1000,0))</f>
        <v/>
      </c>
      <c r="C51" s="317" t="e">
        <f>Mellomregninger!DJ51</f>
        <v>#VALUE!</v>
      </c>
      <c r="D51" s="317" t="e">
        <f>Mellomregninger!DV51</f>
        <v>#VALUE!</v>
      </c>
      <c r="E51" s="317" t="e">
        <f>Mellomregninger!EH51</f>
        <v>#VALUE!</v>
      </c>
      <c r="F51" s="317" t="e">
        <f>Mellomregninger!EV51</f>
        <v>#VALUE!</v>
      </c>
      <c r="G51" s="318" t="e">
        <f>B51/Stoff!$G51</f>
        <v>#VALUE!</v>
      </c>
      <c r="H51" s="318" t="e">
        <f>C51/Stoff!$G51</f>
        <v>#VALUE!</v>
      </c>
      <c r="I51" s="318" t="e">
        <f>D51/Stoff!$G51</f>
        <v>#VALUE!</v>
      </c>
      <c r="J51" s="318" t="e">
        <f>E51/Stoff!$G51</f>
        <v>#VALUE!</v>
      </c>
      <c r="K51" s="319" t="e">
        <f>Mellomregninger!EW51</f>
        <v>#VALUE!</v>
      </c>
      <c r="L51" s="318" t="e">
        <f>F51/Stoff!$G51</f>
        <v>#VALUE!</v>
      </c>
      <c r="M51" s="318" t="str">
        <f>IF(Mellomregninger!B51="","",Mellomregninger!S51)</f>
        <v/>
      </c>
      <c r="N51" s="320" t="e">
        <f>Mellomregninger!DC51+Mellomregninger!DK51</f>
        <v>#VALUE!</v>
      </c>
      <c r="O51" s="318" t="e">
        <f>Mellomregninger!DO51+Mellomregninger!DW51</f>
        <v>#VALUE!</v>
      </c>
      <c r="P51" s="318" t="e">
        <f>Mellomregninger!EA51+Mellomregninger!EI51</f>
        <v>#VALUE!</v>
      </c>
      <c r="Q51" s="318" t="e">
        <f>Mellomregninger!EX51</f>
        <v>#VALUE!</v>
      </c>
      <c r="R51" s="318" t="e">
        <f>Mellomregninger!EM51+Mellomregninger!EP51</f>
        <v>#VALUE!</v>
      </c>
    </row>
    <row r="52" spans="1:18" x14ac:dyDescent="0.35">
      <c r="A52" s="239" t="s">
        <v>158</v>
      </c>
      <c r="B52" s="317" t="str">
        <f>IF(Mellomregninger!B52="","",IF(ISNUMBER('1f. Kons. resipient'!E52),'1f. Kons. resipient'!E52*1000,0))</f>
        <v/>
      </c>
      <c r="C52" s="317" t="e">
        <f>Mellomregninger!DJ52</f>
        <v>#VALUE!</v>
      </c>
      <c r="D52" s="317" t="e">
        <f>Mellomregninger!DV52</f>
        <v>#VALUE!</v>
      </c>
      <c r="E52" s="317" t="e">
        <f>Mellomregninger!EH52</f>
        <v>#VALUE!</v>
      </c>
      <c r="F52" s="317" t="e">
        <f>Mellomregninger!EV52</f>
        <v>#VALUE!</v>
      </c>
      <c r="G52" s="318" t="e">
        <f>B52/Stoff!$G52</f>
        <v>#VALUE!</v>
      </c>
      <c r="H52" s="318" t="e">
        <f>C52/Stoff!$G52</f>
        <v>#VALUE!</v>
      </c>
      <c r="I52" s="318" t="e">
        <f>D52/Stoff!$G52</f>
        <v>#VALUE!</v>
      </c>
      <c r="J52" s="318" t="e">
        <f>E52/Stoff!$G52</f>
        <v>#VALUE!</v>
      </c>
      <c r="K52" s="319" t="e">
        <f>Mellomregninger!EW52</f>
        <v>#VALUE!</v>
      </c>
      <c r="L52" s="318" t="e">
        <f>F52/Stoff!$G52</f>
        <v>#VALUE!</v>
      </c>
      <c r="M52" s="318" t="str">
        <f>IF(Mellomregninger!B52="","",Mellomregninger!S52)</f>
        <v/>
      </c>
      <c r="N52" s="320" t="e">
        <f>Mellomregninger!DC52+Mellomregninger!DK52</f>
        <v>#VALUE!</v>
      </c>
      <c r="O52" s="318" t="e">
        <f>Mellomregninger!DO52+Mellomregninger!DW52</f>
        <v>#VALUE!</v>
      </c>
      <c r="P52" s="318" t="e">
        <f>Mellomregninger!EA52+Mellomregninger!EI52</f>
        <v>#VALUE!</v>
      </c>
      <c r="Q52" s="318" t="e">
        <f>Mellomregninger!EX52</f>
        <v>#VALUE!</v>
      </c>
      <c r="R52" s="318" t="e">
        <f>Mellomregninger!EM52+Mellomregninger!EP52</f>
        <v>#VALUE!</v>
      </c>
    </row>
    <row r="53" spans="1:18" x14ac:dyDescent="0.35">
      <c r="A53" s="239" t="s">
        <v>157</v>
      </c>
      <c r="B53" s="317" t="str">
        <f>IF(Mellomregninger!B53="","",IF(ISNUMBER('1f. Kons. resipient'!E53),'1f. Kons. resipient'!E53*1000,0))</f>
        <v/>
      </c>
      <c r="C53" s="317" t="e">
        <f>Mellomregninger!DJ53</f>
        <v>#VALUE!</v>
      </c>
      <c r="D53" s="317" t="e">
        <f>Mellomregninger!DV53</f>
        <v>#VALUE!</v>
      </c>
      <c r="E53" s="317" t="e">
        <f>Mellomregninger!EH53</f>
        <v>#VALUE!</v>
      </c>
      <c r="F53" s="317" t="e">
        <f>Mellomregninger!EV53</f>
        <v>#VALUE!</v>
      </c>
      <c r="G53" s="318" t="e">
        <f>B53/Stoff!$G53</f>
        <v>#VALUE!</v>
      </c>
      <c r="H53" s="318" t="e">
        <f>C53/Stoff!$G53</f>
        <v>#VALUE!</v>
      </c>
      <c r="I53" s="318" t="e">
        <f>D53/Stoff!$G53</f>
        <v>#VALUE!</v>
      </c>
      <c r="J53" s="318" t="e">
        <f>E53/Stoff!$G53</f>
        <v>#VALUE!</v>
      </c>
      <c r="K53" s="319" t="e">
        <f>Mellomregninger!EW53</f>
        <v>#VALUE!</v>
      </c>
      <c r="L53" s="318" t="e">
        <f>F53/Stoff!$G53</f>
        <v>#VALUE!</v>
      </c>
      <c r="M53" s="318" t="str">
        <f>IF(Mellomregninger!B53="","",Mellomregninger!S53)</f>
        <v/>
      </c>
      <c r="N53" s="320" t="e">
        <f>Mellomregninger!DC53+Mellomregninger!DK53</f>
        <v>#VALUE!</v>
      </c>
      <c r="O53" s="318" t="e">
        <f>Mellomregninger!DO53+Mellomregninger!DW53</f>
        <v>#VALUE!</v>
      </c>
      <c r="P53" s="318" t="e">
        <f>Mellomregninger!EA53+Mellomregninger!EI53</f>
        <v>#VALUE!</v>
      </c>
      <c r="Q53" s="318" t="e">
        <f>Mellomregninger!EX53</f>
        <v>#VALUE!</v>
      </c>
      <c r="R53" s="318" t="e">
        <f>Mellomregninger!EM53+Mellomregninger!EP53</f>
        <v>#VALUE!</v>
      </c>
    </row>
    <row r="54" spans="1:18" x14ac:dyDescent="0.35">
      <c r="A54" s="239" t="s">
        <v>156</v>
      </c>
      <c r="B54" s="317" t="str">
        <f>IF(Mellomregninger!B54="","",IF(ISNUMBER('1f. Kons. resipient'!E54),'1f. Kons. resipient'!E54*1000,0))</f>
        <v/>
      </c>
      <c r="C54" s="317" t="e">
        <f>Mellomregninger!DJ54</f>
        <v>#VALUE!</v>
      </c>
      <c r="D54" s="317" t="e">
        <f>Mellomregninger!DV54</f>
        <v>#VALUE!</v>
      </c>
      <c r="E54" s="317" t="e">
        <f>Mellomregninger!EH54</f>
        <v>#VALUE!</v>
      </c>
      <c r="F54" s="317" t="e">
        <f>Mellomregninger!EV54</f>
        <v>#VALUE!</v>
      </c>
      <c r="G54" s="318" t="e">
        <f>B54/Stoff!$G54</f>
        <v>#VALUE!</v>
      </c>
      <c r="H54" s="318" t="e">
        <f>C54/Stoff!$G54</f>
        <v>#VALUE!</v>
      </c>
      <c r="I54" s="318" t="e">
        <f>D54/Stoff!$G54</f>
        <v>#VALUE!</v>
      </c>
      <c r="J54" s="318" t="e">
        <f>E54/Stoff!$G54</f>
        <v>#VALUE!</v>
      </c>
      <c r="K54" s="319" t="e">
        <f>Mellomregninger!EW54</f>
        <v>#VALUE!</v>
      </c>
      <c r="L54" s="318" t="e">
        <f>F54/Stoff!$G54</f>
        <v>#VALUE!</v>
      </c>
      <c r="M54" s="318" t="str">
        <f>IF(Mellomregninger!B54="","",Mellomregninger!S54)</f>
        <v/>
      </c>
      <c r="N54" s="320" t="e">
        <f>Mellomregninger!DC54+Mellomregninger!DK54</f>
        <v>#VALUE!</v>
      </c>
      <c r="O54" s="318" t="e">
        <f>Mellomregninger!DO54+Mellomregninger!DW54</f>
        <v>#VALUE!</v>
      </c>
      <c r="P54" s="318" t="e">
        <f>Mellomregninger!EA54+Mellomregninger!EI54</f>
        <v>#VALUE!</v>
      </c>
      <c r="Q54" s="318" t="e">
        <f>Mellomregninger!EX54</f>
        <v>#VALUE!</v>
      </c>
      <c r="R54" s="318" t="e">
        <f>Mellomregninger!EM54+Mellomregninger!EP54</f>
        <v>#VALUE!</v>
      </c>
    </row>
    <row r="55" spans="1:18" x14ac:dyDescent="0.35">
      <c r="A55" s="239" t="s">
        <v>155</v>
      </c>
      <c r="B55" s="317" t="str">
        <f>IF(Mellomregninger!B55="","",IF(ISNUMBER('1f. Kons. resipient'!E55),'1f. Kons. resipient'!E55*1000,0))</f>
        <v/>
      </c>
      <c r="C55" s="317" t="e">
        <f>Mellomregninger!DJ55</f>
        <v>#VALUE!</v>
      </c>
      <c r="D55" s="317" t="e">
        <f>Mellomregninger!DV55</f>
        <v>#VALUE!</v>
      </c>
      <c r="E55" s="317" t="e">
        <f>Mellomregninger!EH55</f>
        <v>#VALUE!</v>
      </c>
      <c r="F55" s="317" t="e">
        <f>Mellomregninger!EV55</f>
        <v>#VALUE!</v>
      </c>
      <c r="G55" s="318" t="e">
        <f>B55/Stoff!$G55</f>
        <v>#VALUE!</v>
      </c>
      <c r="H55" s="318" t="e">
        <f>C55/Stoff!$G55</f>
        <v>#VALUE!</v>
      </c>
      <c r="I55" s="318" t="e">
        <f>D55/Stoff!$G55</f>
        <v>#VALUE!</v>
      </c>
      <c r="J55" s="318" t="e">
        <f>E55/Stoff!$G55</f>
        <v>#VALUE!</v>
      </c>
      <c r="K55" s="319" t="e">
        <f>Mellomregninger!EW55</f>
        <v>#VALUE!</v>
      </c>
      <c r="L55" s="318" t="e">
        <f>F55/Stoff!$G55</f>
        <v>#VALUE!</v>
      </c>
      <c r="M55" s="318" t="str">
        <f>IF(Mellomregninger!B55="","",Mellomregninger!S55)</f>
        <v/>
      </c>
      <c r="N55" s="320" t="e">
        <f>Mellomregninger!DC55+Mellomregninger!DK55</f>
        <v>#VALUE!</v>
      </c>
      <c r="O55" s="318" t="e">
        <f>Mellomregninger!DO55+Mellomregninger!DW55</f>
        <v>#VALUE!</v>
      </c>
      <c r="P55" s="318" t="e">
        <f>Mellomregninger!EA55+Mellomregninger!EI55</f>
        <v>#VALUE!</v>
      </c>
      <c r="Q55" s="318" t="e">
        <f>Mellomregninger!EX55</f>
        <v>#VALUE!</v>
      </c>
      <c r="R55" s="318" t="e">
        <f>Mellomregninger!EM55+Mellomregninger!EP55</f>
        <v>#VALUE!</v>
      </c>
    </row>
    <row r="56" spans="1:18" x14ac:dyDescent="0.35">
      <c r="A56" s="239" t="s">
        <v>154</v>
      </c>
      <c r="B56" s="317" t="str">
        <f>IF(Mellomregninger!B56="","",IF(ISNUMBER('1f. Kons. resipient'!E56),'1f. Kons. resipient'!E56*1000,0))</f>
        <v/>
      </c>
      <c r="C56" s="317" t="e">
        <f>Mellomregninger!DJ56</f>
        <v>#VALUE!</v>
      </c>
      <c r="D56" s="317" t="e">
        <f>Mellomregninger!DV56</f>
        <v>#VALUE!</v>
      </c>
      <c r="E56" s="317" t="e">
        <f>Mellomregninger!EH56</f>
        <v>#VALUE!</v>
      </c>
      <c r="F56" s="317" t="e">
        <f>Mellomregninger!EV56</f>
        <v>#VALUE!</v>
      </c>
      <c r="G56" s="318" t="e">
        <f>B56/Stoff!$G56</f>
        <v>#VALUE!</v>
      </c>
      <c r="H56" s="318" t="e">
        <f>C56/Stoff!$G56</f>
        <v>#VALUE!</v>
      </c>
      <c r="I56" s="318" t="e">
        <f>D56/Stoff!$G56</f>
        <v>#VALUE!</v>
      </c>
      <c r="J56" s="318" t="e">
        <f>E56/Stoff!$G56</f>
        <v>#VALUE!</v>
      </c>
      <c r="K56" s="319" t="e">
        <f>Mellomregninger!EW56</f>
        <v>#VALUE!</v>
      </c>
      <c r="L56" s="318" t="e">
        <f>F56/Stoff!$G56</f>
        <v>#VALUE!</v>
      </c>
      <c r="M56" s="318" t="str">
        <f>IF(Mellomregninger!B56="","",Mellomregninger!S56)</f>
        <v/>
      </c>
      <c r="N56" s="320" t="e">
        <f>Mellomregninger!DC56+Mellomregninger!DK56</f>
        <v>#VALUE!</v>
      </c>
      <c r="O56" s="318" t="e">
        <f>Mellomregninger!DO56+Mellomregninger!DW56</f>
        <v>#VALUE!</v>
      </c>
      <c r="P56" s="318" t="e">
        <f>Mellomregninger!EA56+Mellomregninger!EI56</f>
        <v>#VALUE!</v>
      </c>
      <c r="Q56" s="318" t="e">
        <f>Mellomregninger!EX56</f>
        <v>#VALUE!</v>
      </c>
      <c r="R56" s="318" t="e">
        <f>Mellomregninger!EM56+Mellomregninger!EP56</f>
        <v>#VALUE!</v>
      </c>
    </row>
    <row r="57" spans="1:18" x14ac:dyDescent="0.35">
      <c r="A57" s="239" t="s">
        <v>153</v>
      </c>
      <c r="B57" s="317" t="str">
        <f>IF(Mellomregninger!B57="","",IF(ISNUMBER('1f. Kons. resipient'!E57),'1f. Kons. resipient'!E57*1000,0))</f>
        <v/>
      </c>
      <c r="C57" s="317" t="e">
        <f>Mellomregninger!DJ57</f>
        <v>#VALUE!</v>
      </c>
      <c r="D57" s="317" t="e">
        <f>Mellomregninger!DV57</f>
        <v>#VALUE!</v>
      </c>
      <c r="E57" s="317" t="e">
        <f>Mellomregninger!EH57</f>
        <v>#VALUE!</v>
      </c>
      <c r="F57" s="317" t="e">
        <f>Mellomregninger!EV57</f>
        <v>#VALUE!</v>
      </c>
      <c r="G57" s="318" t="e">
        <f>B57/Stoff!$G57</f>
        <v>#VALUE!</v>
      </c>
      <c r="H57" s="318" t="e">
        <f>C57/Stoff!$G57</f>
        <v>#VALUE!</v>
      </c>
      <c r="I57" s="318" t="e">
        <f>D57/Stoff!$G57</f>
        <v>#VALUE!</v>
      </c>
      <c r="J57" s="318" t="e">
        <f>E57/Stoff!$G57</f>
        <v>#VALUE!</v>
      </c>
      <c r="K57" s="319" t="e">
        <f>Mellomregninger!EW57</f>
        <v>#VALUE!</v>
      </c>
      <c r="L57" s="318" t="e">
        <f>F57/Stoff!$G57</f>
        <v>#VALUE!</v>
      </c>
      <c r="M57" s="318" t="str">
        <f>IF(Mellomregninger!B57="","",Mellomregninger!S57)</f>
        <v/>
      </c>
      <c r="N57" s="320" t="e">
        <f>Mellomregninger!DC57+Mellomregninger!DK57</f>
        <v>#VALUE!</v>
      </c>
      <c r="O57" s="318" t="e">
        <f>Mellomregninger!DO57+Mellomregninger!DW57</f>
        <v>#VALUE!</v>
      </c>
      <c r="P57" s="318" t="e">
        <f>Mellomregninger!EA57+Mellomregninger!EI57</f>
        <v>#VALUE!</v>
      </c>
      <c r="Q57" s="318" t="e">
        <f>Mellomregninger!EX57</f>
        <v>#VALUE!</v>
      </c>
      <c r="R57" s="318" t="e">
        <f>Mellomregninger!EM57+Mellomregninger!EP57</f>
        <v>#VALUE!</v>
      </c>
    </row>
    <row r="58" spans="1:18" x14ac:dyDescent="0.35">
      <c r="A58" s="239" t="s">
        <v>152</v>
      </c>
      <c r="B58" s="317" t="str">
        <f>IF(Mellomregninger!B58="","",IF(ISNUMBER('1f. Kons. resipient'!E58),'1f. Kons. resipient'!E58*1000,0))</f>
        <v/>
      </c>
      <c r="C58" s="317" t="e">
        <f>Mellomregninger!DJ58</f>
        <v>#VALUE!</v>
      </c>
      <c r="D58" s="317" t="e">
        <f>Mellomregninger!DV58</f>
        <v>#VALUE!</v>
      </c>
      <c r="E58" s="317" t="e">
        <f>Mellomregninger!EH58</f>
        <v>#VALUE!</v>
      </c>
      <c r="F58" s="317" t="e">
        <f>Mellomregninger!EV58</f>
        <v>#VALUE!</v>
      </c>
      <c r="G58" s="318" t="e">
        <f>B58/Stoff!$G58</f>
        <v>#VALUE!</v>
      </c>
      <c r="H58" s="318" t="e">
        <f>C58/Stoff!$G58</f>
        <v>#VALUE!</v>
      </c>
      <c r="I58" s="318" t="e">
        <f>D58/Stoff!$G58</f>
        <v>#VALUE!</v>
      </c>
      <c r="J58" s="318" t="e">
        <f>E58/Stoff!$G58</f>
        <v>#VALUE!</v>
      </c>
      <c r="K58" s="319" t="e">
        <f>Mellomregninger!EW58</f>
        <v>#VALUE!</v>
      </c>
      <c r="L58" s="318" t="e">
        <f>F58/Stoff!$G58</f>
        <v>#VALUE!</v>
      </c>
      <c r="M58" s="318" t="str">
        <f>IF(Mellomregninger!B58="","",Mellomregninger!S58)</f>
        <v/>
      </c>
      <c r="N58" s="320" t="e">
        <f>Mellomregninger!DC58+Mellomregninger!DK58</f>
        <v>#VALUE!</v>
      </c>
      <c r="O58" s="318" t="e">
        <f>Mellomregninger!DO58+Mellomregninger!DW58</f>
        <v>#VALUE!</v>
      </c>
      <c r="P58" s="318" t="e">
        <f>Mellomregninger!EA58+Mellomregninger!EI58</f>
        <v>#VALUE!</v>
      </c>
      <c r="Q58" s="318" t="e">
        <f>Mellomregninger!EX58</f>
        <v>#VALUE!</v>
      </c>
      <c r="R58" s="318" t="e">
        <f>Mellomregninger!EM58+Mellomregninger!EP58</f>
        <v>#VALUE!</v>
      </c>
    </row>
    <row r="59" spans="1:18" x14ac:dyDescent="0.35">
      <c r="A59" s="239" t="s">
        <v>151</v>
      </c>
      <c r="B59" s="317" t="str">
        <f>IF(Mellomregninger!B59="","",IF(ISNUMBER('1f. Kons. resipient'!E59),'1f. Kons. resipient'!E59*1000,0))</f>
        <v/>
      </c>
      <c r="C59" s="317" t="e">
        <f>Mellomregninger!DJ59</f>
        <v>#VALUE!</v>
      </c>
      <c r="D59" s="317" t="e">
        <f>Mellomregninger!DV59</f>
        <v>#VALUE!</v>
      </c>
      <c r="E59" s="317" t="e">
        <f>Mellomregninger!EH59</f>
        <v>#VALUE!</v>
      </c>
      <c r="F59" s="317" t="e">
        <f>Mellomregninger!EV59</f>
        <v>#VALUE!</v>
      </c>
      <c r="G59" s="318" t="e">
        <f>B59/Stoff!$G59</f>
        <v>#VALUE!</v>
      </c>
      <c r="H59" s="318" t="e">
        <f>C59/Stoff!$G59</f>
        <v>#VALUE!</v>
      </c>
      <c r="I59" s="318" t="e">
        <f>D59/Stoff!$G59</f>
        <v>#VALUE!</v>
      </c>
      <c r="J59" s="318" t="e">
        <f>E59/Stoff!$G59</f>
        <v>#VALUE!</v>
      </c>
      <c r="K59" s="319" t="e">
        <f>Mellomregninger!EW59</f>
        <v>#VALUE!</v>
      </c>
      <c r="L59" s="318" t="e">
        <f>F59/Stoff!$G59</f>
        <v>#VALUE!</v>
      </c>
      <c r="M59" s="318" t="str">
        <f>IF(Mellomregninger!B59="","",Mellomregninger!S59)</f>
        <v/>
      </c>
      <c r="N59" s="320" t="e">
        <f>Mellomregninger!DC59+Mellomregninger!DK59</f>
        <v>#VALUE!</v>
      </c>
      <c r="O59" s="318" t="e">
        <f>Mellomregninger!DO59+Mellomregninger!DW59</f>
        <v>#VALUE!</v>
      </c>
      <c r="P59" s="318" t="e">
        <f>Mellomregninger!EA59+Mellomregninger!EI59</f>
        <v>#VALUE!</v>
      </c>
      <c r="Q59" s="318" t="e">
        <f>Mellomregninger!EX59</f>
        <v>#VALUE!</v>
      </c>
      <c r="R59" s="318" t="e">
        <f>Mellomregninger!EM59+Mellomregninger!EP59</f>
        <v>#VALUE!</v>
      </c>
    </row>
    <row r="60" spans="1:18" x14ac:dyDescent="0.35">
      <c r="A60" s="239" t="s">
        <v>150</v>
      </c>
      <c r="B60" s="317" t="str">
        <f>IF(Mellomregninger!B60="","",IF(ISNUMBER('1f. Kons. resipient'!E60),'1f. Kons. resipient'!E60*1000,0))</f>
        <v/>
      </c>
      <c r="C60" s="317" t="e">
        <f>Mellomregninger!DJ60</f>
        <v>#VALUE!</v>
      </c>
      <c r="D60" s="317" t="e">
        <f>Mellomregninger!DV60</f>
        <v>#VALUE!</v>
      </c>
      <c r="E60" s="317" t="e">
        <f>Mellomregninger!EH60</f>
        <v>#VALUE!</v>
      </c>
      <c r="F60" s="317" t="e">
        <f>Mellomregninger!EV60</f>
        <v>#VALUE!</v>
      </c>
      <c r="G60" s="318" t="e">
        <f>B60/Stoff!$G60</f>
        <v>#VALUE!</v>
      </c>
      <c r="H60" s="318" t="e">
        <f>C60/Stoff!$G60</f>
        <v>#VALUE!</v>
      </c>
      <c r="I60" s="318" t="e">
        <f>D60/Stoff!$G60</f>
        <v>#VALUE!</v>
      </c>
      <c r="J60" s="318" t="e">
        <f>E60/Stoff!$G60</f>
        <v>#VALUE!</v>
      </c>
      <c r="K60" s="319" t="e">
        <f>Mellomregninger!EW60</f>
        <v>#VALUE!</v>
      </c>
      <c r="L60" s="318" t="e">
        <f>F60/Stoff!$G60</f>
        <v>#VALUE!</v>
      </c>
      <c r="M60" s="318" t="str">
        <f>IF(Mellomregninger!B60="","",Mellomregninger!S60)</f>
        <v/>
      </c>
      <c r="N60" s="320" t="e">
        <f>Mellomregninger!DC60+Mellomregninger!DK60</f>
        <v>#VALUE!</v>
      </c>
      <c r="O60" s="318" t="e">
        <f>Mellomregninger!DO60+Mellomregninger!DW60</f>
        <v>#VALUE!</v>
      </c>
      <c r="P60" s="318" t="e">
        <f>Mellomregninger!EA60+Mellomregninger!EI60</f>
        <v>#VALUE!</v>
      </c>
      <c r="Q60" s="318" t="e">
        <f>Mellomregninger!EX60</f>
        <v>#VALUE!</v>
      </c>
      <c r="R60" s="318" t="e">
        <f>Mellomregninger!EM60+Mellomregninger!EP60</f>
        <v>#VALUE!</v>
      </c>
    </row>
    <row r="61" spans="1:18" x14ac:dyDescent="0.35">
      <c r="A61" s="239" t="s">
        <v>149</v>
      </c>
      <c r="B61" s="317" t="str">
        <f>IF(Mellomregninger!B61="","",IF(ISNUMBER('1f. Kons. resipient'!E61),'1f. Kons. resipient'!E61*1000,0))</f>
        <v/>
      </c>
      <c r="C61" s="317" t="e">
        <f>Mellomregninger!DJ61</f>
        <v>#VALUE!</v>
      </c>
      <c r="D61" s="317" t="e">
        <f>Mellomregninger!DV61</f>
        <v>#VALUE!</v>
      </c>
      <c r="E61" s="317" t="e">
        <f>Mellomregninger!EH61</f>
        <v>#VALUE!</v>
      </c>
      <c r="F61" s="317" t="e">
        <f>Mellomregninger!EV61</f>
        <v>#VALUE!</v>
      </c>
      <c r="G61" s="318" t="e">
        <f>B61/Stoff!$G61</f>
        <v>#VALUE!</v>
      </c>
      <c r="H61" s="318" t="e">
        <f>C61/Stoff!$G61</f>
        <v>#VALUE!</v>
      </c>
      <c r="I61" s="318" t="e">
        <f>D61/Stoff!$G61</f>
        <v>#VALUE!</v>
      </c>
      <c r="J61" s="318" t="e">
        <f>E61/Stoff!$G61</f>
        <v>#VALUE!</v>
      </c>
      <c r="K61" s="319" t="e">
        <f>Mellomregninger!EW61</f>
        <v>#VALUE!</v>
      </c>
      <c r="L61" s="318" t="e">
        <f>F61/Stoff!$G61</f>
        <v>#VALUE!</v>
      </c>
      <c r="M61" s="318" t="str">
        <f>IF(Mellomregninger!B61="","",Mellomregninger!S61)</f>
        <v/>
      </c>
      <c r="N61" s="320" t="e">
        <f>Mellomregninger!DC61+Mellomregninger!DK61</f>
        <v>#VALUE!</v>
      </c>
      <c r="O61" s="318" t="e">
        <f>Mellomregninger!DO61+Mellomregninger!DW61</f>
        <v>#VALUE!</v>
      </c>
      <c r="P61" s="318" t="e">
        <f>Mellomregninger!EA61+Mellomregninger!EI61</f>
        <v>#VALUE!</v>
      </c>
      <c r="Q61" s="318" t="e">
        <f>Mellomregninger!EX61</f>
        <v>#VALUE!</v>
      </c>
      <c r="R61" s="318" t="e">
        <f>Mellomregninger!EM61+Mellomregninger!EP61</f>
        <v>#VALUE!</v>
      </c>
    </row>
    <row r="62" spans="1:18" x14ac:dyDescent="0.35">
      <c r="A62" s="239" t="s">
        <v>148</v>
      </c>
      <c r="B62" s="317" t="str">
        <f>IF(Mellomregninger!B62="","",IF(ISNUMBER('1f. Kons. resipient'!E62),'1f. Kons. resipient'!E62*1000,0))</f>
        <v/>
      </c>
      <c r="C62" s="317" t="e">
        <f>Mellomregninger!DJ62</f>
        <v>#VALUE!</v>
      </c>
      <c r="D62" s="317" t="e">
        <f>Mellomregninger!DV62</f>
        <v>#VALUE!</v>
      </c>
      <c r="E62" s="317" t="e">
        <f>Mellomregninger!EH62</f>
        <v>#VALUE!</v>
      </c>
      <c r="F62" s="317" t="e">
        <f>Mellomregninger!EV62</f>
        <v>#VALUE!</v>
      </c>
      <c r="G62" s="318" t="e">
        <f>B62/Stoff!$G62</f>
        <v>#VALUE!</v>
      </c>
      <c r="H62" s="318" t="e">
        <f>C62/Stoff!$G62</f>
        <v>#VALUE!</v>
      </c>
      <c r="I62" s="318" t="e">
        <f>D62/Stoff!$G62</f>
        <v>#VALUE!</v>
      </c>
      <c r="J62" s="318" t="e">
        <f>E62/Stoff!$G62</f>
        <v>#VALUE!</v>
      </c>
      <c r="K62" s="319" t="e">
        <f>Mellomregninger!EW62</f>
        <v>#VALUE!</v>
      </c>
      <c r="L62" s="318" t="e">
        <f>F62/Stoff!$G62</f>
        <v>#VALUE!</v>
      </c>
      <c r="M62" s="318" t="str">
        <f>IF(Mellomregninger!B62="","",Mellomregninger!S62)</f>
        <v/>
      </c>
      <c r="N62" s="320" t="e">
        <f>Mellomregninger!DC62+Mellomregninger!DK62</f>
        <v>#VALUE!</v>
      </c>
      <c r="O62" s="318" t="e">
        <f>Mellomregninger!DO62+Mellomregninger!DW62</f>
        <v>#VALUE!</v>
      </c>
      <c r="P62" s="318" t="e">
        <f>Mellomregninger!EA62+Mellomregninger!EI62</f>
        <v>#VALUE!</v>
      </c>
      <c r="Q62" s="318" t="e">
        <f>Mellomregninger!EX62</f>
        <v>#VALUE!</v>
      </c>
      <c r="R62" s="318" t="e">
        <f>Mellomregninger!EM62+Mellomregninger!EP62</f>
        <v>#VALUE!</v>
      </c>
    </row>
    <row r="63" spans="1:18" x14ac:dyDescent="0.35">
      <c r="A63" s="239" t="s">
        <v>147</v>
      </c>
      <c r="B63" s="317" t="str">
        <f>IF(Mellomregninger!B63="","",IF(ISNUMBER('1f. Kons. resipient'!E63),'1f. Kons. resipient'!E63*1000,0))</f>
        <v/>
      </c>
      <c r="C63" s="317" t="e">
        <f>Mellomregninger!DJ63</f>
        <v>#VALUE!</v>
      </c>
      <c r="D63" s="317" t="e">
        <f>Mellomregninger!DV63</f>
        <v>#VALUE!</v>
      </c>
      <c r="E63" s="317" t="e">
        <f>Mellomregninger!EH63</f>
        <v>#VALUE!</v>
      </c>
      <c r="F63" s="317" t="e">
        <f>Mellomregninger!EV63</f>
        <v>#VALUE!</v>
      </c>
      <c r="G63" s="318" t="e">
        <f>B63/Stoff!$G63</f>
        <v>#VALUE!</v>
      </c>
      <c r="H63" s="318" t="e">
        <f>C63/Stoff!$G63</f>
        <v>#VALUE!</v>
      </c>
      <c r="I63" s="318" t="e">
        <f>D63/Stoff!$G63</f>
        <v>#VALUE!</v>
      </c>
      <c r="J63" s="318" t="e">
        <f>E63/Stoff!$G63</f>
        <v>#VALUE!</v>
      </c>
      <c r="K63" s="319" t="e">
        <f>Mellomregninger!EW63</f>
        <v>#VALUE!</v>
      </c>
      <c r="L63" s="318" t="e">
        <f>F63/Stoff!$G63</f>
        <v>#VALUE!</v>
      </c>
      <c r="M63" s="318" t="str">
        <f>IF(Mellomregninger!B63="","",Mellomregninger!S63)</f>
        <v/>
      </c>
      <c r="N63" s="320" t="e">
        <f>Mellomregninger!DC63+Mellomregninger!DK63</f>
        <v>#VALUE!</v>
      </c>
      <c r="O63" s="318" t="e">
        <f>Mellomregninger!DO63+Mellomregninger!DW63</f>
        <v>#VALUE!</v>
      </c>
      <c r="P63" s="318" t="e">
        <f>Mellomregninger!EA63+Mellomregninger!EI63</f>
        <v>#VALUE!</v>
      </c>
      <c r="Q63" s="318" t="e">
        <f>Mellomregninger!EX63</f>
        <v>#VALUE!</v>
      </c>
      <c r="R63" s="318" t="e">
        <f>Mellomregninger!EM63+Mellomregninger!EP63</f>
        <v>#VALUE!</v>
      </c>
    </row>
    <row r="64" spans="1:18" x14ac:dyDescent="0.35">
      <c r="A64" s="239" t="s">
        <v>146</v>
      </c>
      <c r="B64" s="317" t="str">
        <f>IF(Mellomregninger!B64="","",IF(ISNUMBER('1f. Kons. resipient'!E64),'1f. Kons. resipient'!E64*1000,0))</f>
        <v/>
      </c>
      <c r="C64" s="317" t="e">
        <f>Mellomregninger!DJ64</f>
        <v>#VALUE!</v>
      </c>
      <c r="D64" s="317" t="e">
        <f>Mellomregninger!DV64</f>
        <v>#VALUE!</v>
      </c>
      <c r="E64" s="317" t="e">
        <f>Mellomregninger!EH64</f>
        <v>#VALUE!</v>
      </c>
      <c r="F64" s="317" t="e">
        <f>Mellomregninger!EV64</f>
        <v>#VALUE!</v>
      </c>
      <c r="G64" s="318" t="e">
        <f>B64/Stoff!$G64</f>
        <v>#VALUE!</v>
      </c>
      <c r="H64" s="318" t="e">
        <f>C64/Stoff!$G64</f>
        <v>#VALUE!</v>
      </c>
      <c r="I64" s="318" t="e">
        <f>D64/Stoff!$G64</f>
        <v>#VALUE!</v>
      </c>
      <c r="J64" s="318" t="e">
        <f>E64/Stoff!$G64</f>
        <v>#VALUE!</v>
      </c>
      <c r="K64" s="319" t="e">
        <f>Mellomregninger!EW64</f>
        <v>#VALUE!</v>
      </c>
      <c r="L64" s="318" t="e">
        <f>F64/Stoff!$G64</f>
        <v>#VALUE!</v>
      </c>
      <c r="M64" s="318" t="str">
        <f>IF(Mellomregninger!B64="","",Mellomregninger!S64)</f>
        <v/>
      </c>
      <c r="N64" s="320" t="e">
        <f>Mellomregninger!DC64+Mellomregninger!DK64</f>
        <v>#VALUE!</v>
      </c>
      <c r="O64" s="318" t="e">
        <f>Mellomregninger!DO64+Mellomregninger!DW64</f>
        <v>#VALUE!</v>
      </c>
      <c r="P64" s="318" t="e">
        <f>Mellomregninger!EA64+Mellomregninger!EI64</f>
        <v>#VALUE!</v>
      </c>
      <c r="Q64" s="318" t="e">
        <f>Mellomregninger!EX64</f>
        <v>#VALUE!</v>
      </c>
      <c r="R64" s="318" t="e">
        <f>Mellomregninger!EM64+Mellomregninger!EP64</f>
        <v>#VALUE!</v>
      </c>
    </row>
    <row r="65" spans="1:18" x14ac:dyDescent="0.35">
      <c r="A65" s="239" t="s">
        <v>145</v>
      </c>
      <c r="B65" s="317" t="str">
        <f>IF(Mellomregninger!B65="","",IF(ISNUMBER('1f. Kons. resipient'!E65),'1f. Kons. resipient'!E65*1000,0))</f>
        <v/>
      </c>
      <c r="C65" s="317" t="e">
        <f>Mellomregninger!DJ65</f>
        <v>#VALUE!</v>
      </c>
      <c r="D65" s="317" t="e">
        <f>Mellomregninger!DV65</f>
        <v>#VALUE!</v>
      </c>
      <c r="E65" s="317" t="e">
        <f>Mellomregninger!EH65</f>
        <v>#VALUE!</v>
      </c>
      <c r="F65" s="317" t="e">
        <f>Mellomregninger!EV65</f>
        <v>#VALUE!</v>
      </c>
      <c r="G65" s="318" t="e">
        <f>B65/Stoff!$G65</f>
        <v>#VALUE!</v>
      </c>
      <c r="H65" s="318" t="e">
        <f>C65/Stoff!$G65</f>
        <v>#VALUE!</v>
      </c>
      <c r="I65" s="318" t="e">
        <f>D65/Stoff!$G65</f>
        <v>#VALUE!</v>
      </c>
      <c r="J65" s="318" t="e">
        <f>E65/Stoff!$G65</f>
        <v>#VALUE!</v>
      </c>
      <c r="K65" s="319" t="e">
        <f>Mellomregninger!EW65</f>
        <v>#VALUE!</v>
      </c>
      <c r="L65" s="318" t="e">
        <f>F65/Stoff!$G65</f>
        <v>#VALUE!</v>
      </c>
      <c r="M65" s="318" t="str">
        <f>IF(Mellomregninger!B65="","",Mellomregninger!S65)</f>
        <v/>
      </c>
      <c r="N65" s="320" t="e">
        <f>Mellomregninger!DC65+Mellomregninger!DK65</f>
        <v>#VALUE!</v>
      </c>
      <c r="O65" s="318" t="e">
        <f>Mellomregninger!DO65+Mellomregninger!DW65</f>
        <v>#VALUE!</v>
      </c>
      <c r="P65" s="318" t="e">
        <f>Mellomregninger!EA65+Mellomregninger!EI65</f>
        <v>#VALUE!</v>
      </c>
      <c r="Q65" s="318" t="e">
        <f>Mellomregninger!EX65</f>
        <v>#VALUE!</v>
      </c>
      <c r="R65" s="318" t="e">
        <f>Mellomregninger!EM65+Mellomregninger!EP65</f>
        <v>#VALUE!</v>
      </c>
    </row>
    <row r="66" spans="1:18" x14ac:dyDescent="0.35">
      <c r="A66" s="239" t="s">
        <v>144</v>
      </c>
      <c r="B66" s="317" t="str">
        <f>IF(Mellomregninger!B66="","",IF(ISNUMBER('1f. Kons. resipient'!E66),'1f. Kons. resipient'!E66*1000,0))</f>
        <v/>
      </c>
      <c r="C66" s="317" t="e">
        <f>Mellomregninger!DJ66</f>
        <v>#VALUE!</v>
      </c>
      <c r="D66" s="317" t="e">
        <f>Mellomregninger!DV66</f>
        <v>#VALUE!</v>
      </c>
      <c r="E66" s="317" t="e">
        <f>Mellomregninger!EH66</f>
        <v>#VALUE!</v>
      </c>
      <c r="F66" s="317" t="e">
        <f>Mellomregninger!EV66</f>
        <v>#VALUE!</v>
      </c>
      <c r="G66" s="318" t="e">
        <f>B66/Stoff!$G66</f>
        <v>#VALUE!</v>
      </c>
      <c r="H66" s="318" t="e">
        <f>C66/Stoff!$G66</f>
        <v>#VALUE!</v>
      </c>
      <c r="I66" s="318" t="e">
        <f>D66/Stoff!$G66</f>
        <v>#VALUE!</v>
      </c>
      <c r="J66" s="318" t="e">
        <f>E66/Stoff!$G66</f>
        <v>#VALUE!</v>
      </c>
      <c r="K66" s="319" t="e">
        <f>Mellomregninger!EW66</f>
        <v>#VALUE!</v>
      </c>
      <c r="L66" s="318" t="e">
        <f>F66/Stoff!$G66</f>
        <v>#VALUE!</v>
      </c>
      <c r="M66" s="318" t="str">
        <f>IF(Mellomregninger!B66="","",Mellomregninger!S66)</f>
        <v/>
      </c>
      <c r="N66" s="320" t="e">
        <f>Mellomregninger!DC66+Mellomregninger!DK66</f>
        <v>#VALUE!</v>
      </c>
      <c r="O66" s="318" t="e">
        <f>Mellomregninger!DO66+Mellomregninger!DW66</f>
        <v>#VALUE!</v>
      </c>
      <c r="P66" s="318" t="e">
        <f>Mellomregninger!EA66+Mellomregninger!EI66</f>
        <v>#VALUE!</v>
      </c>
      <c r="Q66" s="318" t="e">
        <f>Mellomregninger!EX66</f>
        <v>#VALUE!</v>
      </c>
      <c r="R66" s="318" t="e">
        <f>Mellomregninger!EM66+Mellomregninger!EP66</f>
        <v>#VALUE!</v>
      </c>
    </row>
    <row r="67" spans="1:18" x14ac:dyDescent="0.35">
      <c r="A67" s="239" t="s">
        <v>143</v>
      </c>
      <c r="B67" s="317" t="str">
        <f>IF(Mellomregninger!B67="","",IF(ISNUMBER('1f. Kons. resipient'!E67),'1f. Kons. resipient'!E67*1000,0))</f>
        <v/>
      </c>
      <c r="C67" s="317" t="e">
        <f>Mellomregninger!DJ67</f>
        <v>#VALUE!</v>
      </c>
      <c r="D67" s="317" t="e">
        <f>Mellomregninger!DV67</f>
        <v>#VALUE!</v>
      </c>
      <c r="E67" s="317" t="e">
        <f>Mellomregninger!EH67</f>
        <v>#VALUE!</v>
      </c>
      <c r="F67" s="317" t="e">
        <f>Mellomregninger!EV67</f>
        <v>#VALUE!</v>
      </c>
      <c r="G67" s="318" t="e">
        <f>B67/Stoff!$G67</f>
        <v>#VALUE!</v>
      </c>
      <c r="H67" s="318" t="e">
        <f>C67/Stoff!$G67</f>
        <v>#VALUE!</v>
      </c>
      <c r="I67" s="318" t="e">
        <f>D67/Stoff!$G67</f>
        <v>#VALUE!</v>
      </c>
      <c r="J67" s="318" t="e">
        <f>E67/Stoff!$G67</f>
        <v>#VALUE!</v>
      </c>
      <c r="K67" s="319" t="e">
        <f>Mellomregninger!EW67</f>
        <v>#VALUE!</v>
      </c>
      <c r="L67" s="318" t="e">
        <f>F67/Stoff!$G67</f>
        <v>#VALUE!</v>
      </c>
      <c r="M67" s="318" t="str">
        <f>IF(Mellomregninger!B67="","",Mellomregninger!S67)</f>
        <v/>
      </c>
      <c r="N67" s="320" t="e">
        <f>Mellomregninger!DC67+Mellomregninger!DK67</f>
        <v>#VALUE!</v>
      </c>
      <c r="O67" s="318" t="e">
        <f>Mellomregninger!DO67+Mellomregninger!DW67</f>
        <v>#VALUE!</v>
      </c>
      <c r="P67" s="318" t="e">
        <f>Mellomregninger!EA67+Mellomregninger!EI67</f>
        <v>#VALUE!</v>
      </c>
      <c r="Q67" s="318" t="e">
        <f>Mellomregninger!EX67</f>
        <v>#VALUE!</v>
      </c>
      <c r="R67" s="318" t="e">
        <f>Mellomregninger!EM67+Mellomregninger!EP67</f>
        <v>#VALUE!</v>
      </c>
    </row>
    <row r="68" spans="1:18" x14ac:dyDescent="0.35">
      <c r="A68" s="239" t="s">
        <v>142</v>
      </c>
      <c r="B68" s="317" t="str">
        <f>IF(Mellomregninger!B68="","",IF(ISNUMBER('1f. Kons. resipient'!E68),'1f. Kons. resipient'!E68*1000,0))</f>
        <v/>
      </c>
      <c r="C68" s="317" t="e">
        <f>Mellomregninger!DJ68</f>
        <v>#VALUE!</v>
      </c>
      <c r="D68" s="317" t="e">
        <f>Mellomregninger!DV68</f>
        <v>#VALUE!</v>
      </c>
      <c r="E68" s="317" t="e">
        <f>Mellomregninger!EH68</f>
        <v>#VALUE!</v>
      </c>
      <c r="F68" s="317" t="e">
        <f>Mellomregninger!EV68</f>
        <v>#VALUE!</v>
      </c>
      <c r="G68" s="318" t="e">
        <f>B68/Stoff!$G68</f>
        <v>#VALUE!</v>
      </c>
      <c r="H68" s="318" t="e">
        <f>C68/Stoff!$G68</f>
        <v>#VALUE!</v>
      </c>
      <c r="I68" s="318" t="e">
        <f>D68/Stoff!$G68</f>
        <v>#VALUE!</v>
      </c>
      <c r="J68" s="318" t="e">
        <f>E68/Stoff!$G68</f>
        <v>#VALUE!</v>
      </c>
      <c r="K68" s="319" t="e">
        <f>Mellomregninger!EW68</f>
        <v>#VALUE!</v>
      </c>
      <c r="L68" s="318" t="e">
        <f>F68/Stoff!$G68</f>
        <v>#VALUE!</v>
      </c>
      <c r="M68" s="318" t="str">
        <f>IF(Mellomregninger!B68="","",Mellomregninger!S68)</f>
        <v/>
      </c>
      <c r="N68" s="320" t="e">
        <f>Mellomregninger!DC68+Mellomregninger!DK68</f>
        <v>#VALUE!</v>
      </c>
      <c r="O68" s="318" t="e">
        <f>Mellomregninger!DO68+Mellomregninger!DW68</f>
        <v>#VALUE!</v>
      </c>
      <c r="P68" s="318" t="e">
        <f>Mellomregninger!EA68+Mellomregninger!EI68</f>
        <v>#VALUE!</v>
      </c>
      <c r="Q68" s="318" t="e">
        <f>Mellomregninger!EX68</f>
        <v>#VALUE!</v>
      </c>
      <c r="R68" s="318" t="e">
        <f>Mellomregninger!EM68+Mellomregninger!EP68</f>
        <v>#VALUE!</v>
      </c>
    </row>
    <row r="69" spans="1:18" x14ac:dyDescent="0.35">
      <c r="A69" s="239" t="s">
        <v>141</v>
      </c>
      <c r="B69" s="317" t="str">
        <f>IF(Mellomregninger!B69="","",IF(ISNUMBER('1f. Kons. resipient'!E69),'1f. Kons. resipient'!E69*1000,0))</f>
        <v/>
      </c>
      <c r="C69" s="317" t="e">
        <f>Mellomregninger!DJ69</f>
        <v>#VALUE!</v>
      </c>
      <c r="D69" s="317" t="e">
        <f>Mellomregninger!DV69</f>
        <v>#VALUE!</v>
      </c>
      <c r="E69" s="317" t="e">
        <f>Mellomregninger!EH69</f>
        <v>#VALUE!</v>
      </c>
      <c r="F69" s="317" t="e">
        <f>Mellomregninger!EV69</f>
        <v>#VALUE!</v>
      </c>
      <c r="G69" s="318" t="e">
        <f>B69/Stoff!$G69</f>
        <v>#VALUE!</v>
      </c>
      <c r="H69" s="318" t="e">
        <f>C69/Stoff!$G69</f>
        <v>#VALUE!</v>
      </c>
      <c r="I69" s="318" t="e">
        <f>D69/Stoff!$G69</f>
        <v>#VALUE!</v>
      </c>
      <c r="J69" s="318" t="e">
        <f>E69/Stoff!$G69</f>
        <v>#VALUE!</v>
      </c>
      <c r="K69" s="319" t="e">
        <f>Mellomregninger!EW69</f>
        <v>#VALUE!</v>
      </c>
      <c r="L69" s="318" t="e">
        <f>F69/Stoff!$G69</f>
        <v>#VALUE!</v>
      </c>
      <c r="M69" s="318" t="str">
        <f>IF(Mellomregninger!B69="","",Mellomregninger!S69)</f>
        <v/>
      </c>
      <c r="N69" s="320" t="e">
        <f>Mellomregninger!DC69+Mellomregninger!DK69</f>
        <v>#VALUE!</v>
      </c>
      <c r="O69" s="318" t="e">
        <f>Mellomregninger!DO69+Mellomregninger!DW69</f>
        <v>#VALUE!</v>
      </c>
      <c r="P69" s="318" t="e">
        <f>Mellomregninger!EA69+Mellomregninger!EI69</f>
        <v>#VALUE!</v>
      </c>
      <c r="Q69" s="318" t="e">
        <f>Mellomregninger!EX69</f>
        <v>#VALUE!</v>
      </c>
      <c r="R69" s="318" t="e">
        <f>Mellomregninger!EM69+Mellomregninger!EP69</f>
        <v>#VALUE!</v>
      </c>
    </row>
    <row r="70" spans="1:18" x14ac:dyDescent="0.35">
      <c r="A70" s="239" t="s">
        <v>140</v>
      </c>
      <c r="B70" s="317" t="str">
        <f>IF(Mellomregninger!B70="","",IF(ISNUMBER('1f. Kons. resipient'!E70),'1f. Kons. resipient'!E70*1000,0))</f>
        <v/>
      </c>
      <c r="C70" s="317" t="e">
        <f>Mellomregninger!DJ70</f>
        <v>#VALUE!</v>
      </c>
      <c r="D70" s="317" t="e">
        <f>Mellomregninger!DV70</f>
        <v>#VALUE!</v>
      </c>
      <c r="E70" s="317" t="e">
        <f>Mellomregninger!EH70</f>
        <v>#VALUE!</v>
      </c>
      <c r="F70" s="317" t="e">
        <f>Mellomregninger!EV70</f>
        <v>#VALUE!</v>
      </c>
      <c r="G70" s="318" t="e">
        <f>B70/Stoff!$G70</f>
        <v>#VALUE!</v>
      </c>
      <c r="H70" s="318" t="e">
        <f>C70/Stoff!$G70</f>
        <v>#VALUE!</v>
      </c>
      <c r="I70" s="318" t="e">
        <f>D70/Stoff!$G70</f>
        <v>#VALUE!</v>
      </c>
      <c r="J70" s="318" t="e">
        <f>E70/Stoff!$G70</f>
        <v>#VALUE!</v>
      </c>
      <c r="K70" s="319" t="e">
        <f>Mellomregninger!EW70</f>
        <v>#VALUE!</v>
      </c>
      <c r="L70" s="318" t="e">
        <f>F70/Stoff!$G70</f>
        <v>#VALUE!</v>
      </c>
      <c r="M70" s="318" t="str">
        <f>IF(Mellomregninger!B70="","",Mellomregninger!S70)</f>
        <v/>
      </c>
      <c r="N70" s="320" t="e">
        <f>Mellomregninger!DC70+Mellomregninger!DK70</f>
        <v>#VALUE!</v>
      </c>
      <c r="O70" s="318" t="e">
        <f>Mellomregninger!DO70+Mellomregninger!DW70</f>
        <v>#VALUE!</v>
      </c>
      <c r="P70" s="318" t="e">
        <f>Mellomregninger!EA70+Mellomregninger!EI70</f>
        <v>#VALUE!</v>
      </c>
      <c r="Q70" s="318" t="e">
        <f>Mellomregninger!EX70</f>
        <v>#VALUE!</v>
      </c>
      <c r="R70" s="318" t="e">
        <f>Mellomregninger!EM70+Mellomregninger!EP70</f>
        <v>#VALUE!</v>
      </c>
    </row>
    <row r="71" spans="1:18" x14ac:dyDescent="0.35">
      <c r="A71" s="239" t="s">
        <v>139</v>
      </c>
      <c r="B71" s="317" t="str">
        <f>IF(Mellomregninger!B71="","",IF(ISNUMBER('1f. Kons. resipient'!E71),'1f. Kons. resipient'!E71*1000,0))</f>
        <v/>
      </c>
      <c r="C71" s="317" t="e">
        <f>Mellomregninger!DJ71</f>
        <v>#VALUE!</v>
      </c>
      <c r="D71" s="317" t="e">
        <f>Mellomregninger!DV71</f>
        <v>#VALUE!</v>
      </c>
      <c r="E71" s="317" t="e">
        <f>Mellomregninger!EH71</f>
        <v>#VALUE!</v>
      </c>
      <c r="F71" s="317" t="e">
        <f>Mellomregninger!EV71</f>
        <v>#VALUE!</v>
      </c>
      <c r="G71" s="318" t="e">
        <f>B71/Stoff!$G71</f>
        <v>#VALUE!</v>
      </c>
      <c r="H71" s="318" t="e">
        <f>C71/Stoff!$G71</f>
        <v>#VALUE!</v>
      </c>
      <c r="I71" s="318" t="e">
        <f>D71/Stoff!$G71</f>
        <v>#VALUE!</v>
      </c>
      <c r="J71" s="318" t="e">
        <f>E71/Stoff!$G71</f>
        <v>#VALUE!</v>
      </c>
      <c r="K71" s="319" t="e">
        <f>Mellomregninger!EW71</f>
        <v>#VALUE!</v>
      </c>
      <c r="L71" s="318" t="e">
        <f>F71/Stoff!$G71</f>
        <v>#VALUE!</v>
      </c>
      <c r="M71" s="318" t="str">
        <f>IF(Mellomregninger!B71="","",Mellomregninger!S71)</f>
        <v/>
      </c>
      <c r="N71" s="320" t="e">
        <f>Mellomregninger!DC71+Mellomregninger!DK71</f>
        <v>#VALUE!</v>
      </c>
      <c r="O71" s="318" t="e">
        <f>Mellomregninger!DO71+Mellomregninger!DW71</f>
        <v>#VALUE!</v>
      </c>
      <c r="P71" s="318" t="e">
        <f>Mellomregninger!EA71+Mellomregninger!EI71</f>
        <v>#VALUE!</v>
      </c>
      <c r="Q71" s="318" t="e">
        <f>Mellomregninger!EX71</f>
        <v>#VALUE!</v>
      </c>
      <c r="R71" s="318" t="e">
        <f>Mellomregninger!EM71+Mellomregninger!EP71</f>
        <v>#VALUE!</v>
      </c>
    </row>
    <row r="72" spans="1:18" x14ac:dyDescent="0.35">
      <c r="A72" s="239" t="s">
        <v>138</v>
      </c>
      <c r="B72" s="317" t="str">
        <f>IF(Mellomregninger!B72="","",IF(ISNUMBER('1f. Kons. resipient'!E72),'1f. Kons. resipient'!E72*1000,0))</f>
        <v/>
      </c>
      <c r="C72" s="317" t="e">
        <f>Mellomregninger!DJ72</f>
        <v>#VALUE!</v>
      </c>
      <c r="D72" s="317" t="e">
        <f>Mellomregninger!DV72</f>
        <v>#VALUE!</v>
      </c>
      <c r="E72" s="317" t="e">
        <f>Mellomregninger!EH72</f>
        <v>#VALUE!</v>
      </c>
      <c r="F72" s="317" t="e">
        <f>Mellomregninger!EV72</f>
        <v>#VALUE!</v>
      </c>
      <c r="G72" s="318" t="e">
        <f>B72/Stoff!$G72</f>
        <v>#VALUE!</v>
      </c>
      <c r="H72" s="318" t="e">
        <f>C72/Stoff!$G72</f>
        <v>#VALUE!</v>
      </c>
      <c r="I72" s="318" t="e">
        <f>D72/Stoff!$G72</f>
        <v>#VALUE!</v>
      </c>
      <c r="J72" s="318" t="e">
        <f>E72/Stoff!$G72</f>
        <v>#VALUE!</v>
      </c>
      <c r="K72" s="319" t="e">
        <f>Mellomregninger!EW72</f>
        <v>#VALUE!</v>
      </c>
      <c r="L72" s="318" t="e">
        <f>F72/Stoff!$G72</f>
        <v>#VALUE!</v>
      </c>
      <c r="M72" s="318" t="str">
        <f>IF(Mellomregninger!B72="","",Mellomregninger!S72)</f>
        <v/>
      </c>
      <c r="N72" s="320" t="e">
        <f>Mellomregninger!DC72+Mellomregninger!DK72</f>
        <v>#VALUE!</v>
      </c>
      <c r="O72" s="318" t="e">
        <f>Mellomregninger!DO72+Mellomregninger!DW72</f>
        <v>#VALUE!</v>
      </c>
      <c r="P72" s="318" t="e">
        <f>Mellomregninger!EA72+Mellomregninger!EI72</f>
        <v>#VALUE!</v>
      </c>
      <c r="Q72" s="318" t="e">
        <f>Mellomregninger!EX72</f>
        <v>#VALUE!</v>
      </c>
      <c r="R72" s="318" t="e">
        <f>Mellomregninger!EM72+Mellomregninger!EP72</f>
        <v>#VALUE!</v>
      </c>
    </row>
    <row r="73" spans="1:18" x14ac:dyDescent="0.35">
      <c r="A73" s="239" t="s">
        <v>136</v>
      </c>
      <c r="B73" s="317" t="str">
        <f>IF(Mellomregninger!B73="","",IF(ISNUMBER('1f. Kons. resipient'!E73),'1f. Kons. resipient'!E73*1000,0))</f>
        <v/>
      </c>
      <c r="C73" s="317" t="e">
        <f>Mellomregninger!DJ73</f>
        <v>#VALUE!</v>
      </c>
      <c r="D73" s="317" t="e">
        <f>Mellomregninger!DV73</f>
        <v>#VALUE!</v>
      </c>
      <c r="E73" s="317" t="e">
        <f>Mellomregninger!EH73</f>
        <v>#VALUE!</v>
      </c>
      <c r="F73" s="317" t="e">
        <f>Mellomregninger!EV73</f>
        <v>#VALUE!</v>
      </c>
      <c r="G73" s="318" t="e">
        <f>B73/Stoff!$G73</f>
        <v>#VALUE!</v>
      </c>
      <c r="H73" s="318" t="e">
        <f>C73/Stoff!$G73</f>
        <v>#VALUE!</v>
      </c>
      <c r="I73" s="318" t="e">
        <f>D73/Stoff!$G73</f>
        <v>#VALUE!</v>
      </c>
      <c r="J73" s="318" t="e">
        <f>E73/Stoff!$G73</f>
        <v>#VALUE!</v>
      </c>
      <c r="K73" s="319" t="e">
        <f>Mellomregninger!EW73</f>
        <v>#VALUE!</v>
      </c>
      <c r="L73" s="318" t="e">
        <f>F73/Stoff!$G73</f>
        <v>#VALUE!</v>
      </c>
      <c r="M73" s="318" t="str">
        <f>IF(Mellomregninger!B73="","",Mellomregninger!S73)</f>
        <v/>
      </c>
      <c r="N73" s="320" t="e">
        <f>Mellomregninger!DC73+Mellomregninger!DK73</f>
        <v>#VALUE!</v>
      </c>
      <c r="O73" s="318" t="e">
        <f>Mellomregninger!DO73+Mellomregninger!DW73</f>
        <v>#VALUE!</v>
      </c>
      <c r="P73" s="318" t="e">
        <f>Mellomregninger!EA73+Mellomregninger!EI73</f>
        <v>#VALUE!</v>
      </c>
      <c r="Q73" s="318" t="e">
        <f>Mellomregninger!EX73</f>
        <v>#VALUE!</v>
      </c>
      <c r="R73" s="318" t="e">
        <f>Mellomregninger!EM73+Mellomregninger!EP73</f>
        <v>#VALUE!</v>
      </c>
    </row>
    <row r="74" spans="1:18" x14ac:dyDescent="0.35">
      <c r="A74" s="239" t="s">
        <v>135</v>
      </c>
      <c r="B74" s="317" t="str">
        <f>IF(Mellomregninger!B74="","",IF(ISNUMBER('1f. Kons. resipient'!E74),'1f. Kons. resipient'!E74*1000,0))</f>
        <v/>
      </c>
      <c r="C74" s="317" t="e">
        <f>Mellomregninger!DJ74</f>
        <v>#VALUE!</v>
      </c>
      <c r="D74" s="317" t="e">
        <f>Mellomregninger!DV74</f>
        <v>#VALUE!</v>
      </c>
      <c r="E74" s="317" t="e">
        <f>Mellomregninger!EH74</f>
        <v>#VALUE!</v>
      </c>
      <c r="F74" s="317" t="e">
        <f>Mellomregninger!EV74</f>
        <v>#VALUE!</v>
      </c>
      <c r="G74" s="318" t="e">
        <f>B74/Stoff!$G74</f>
        <v>#VALUE!</v>
      </c>
      <c r="H74" s="318" t="e">
        <f>C74/Stoff!$G74</f>
        <v>#VALUE!</v>
      </c>
      <c r="I74" s="318" t="e">
        <f>D74/Stoff!$G74</f>
        <v>#VALUE!</v>
      </c>
      <c r="J74" s="318" t="e">
        <f>E74/Stoff!$G74</f>
        <v>#VALUE!</v>
      </c>
      <c r="K74" s="319" t="e">
        <f>Mellomregninger!EW74</f>
        <v>#VALUE!</v>
      </c>
      <c r="L74" s="318" t="e">
        <f>F74/Stoff!$G74</f>
        <v>#VALUE!</v>
      </c>
      <c r="M74" s="318" t="str">
        <f>IF(Mellomregninger!B74="","",Mellomregninger!S74)</f>
        <v/>
      </c>
      <c r="N74" s="320" t="e">
        <f>Mellomregninger!DC74+Mellomregninger!DK74</f>
        <v>#VALUE!</v>
      </c>
      <c r="O74" s="318" t="e">
        <f>Mellomregninger!DO74+Mellomregninger!DW74</f>
        <v>#VALUE!</v>
      </c>
      <c r="P74" s="318" t="e">
        <f>Mellomregninger!EA74+Mellomregninger!EI74</f>
        <v>#VALUE!</v>
      </c>
      <c r="Q74" s="318" t="e">
        <f>Mellomregninger!EX74</f>
        <v>#VALUE!</v>
      </c>
      <c r="R74" s="318" t="e">
        <f>Mellomregninger!EM74+Mellomregninger!EP74</f>
        <v>#VALUE!</v>
      </c>
    </row>
    <row r="75" spans="1:18" x14ac:dyDescent="0.35">
      <c r="A75" s="239" t="s">
        <v>134</v>
      </c>
      <c r="B75" s="317" t="str">
        <f>IF(Mellomregninger!B75="","",IF(ISNUMBER('1f. Kons. resipient'!E75),'1f. Kons. resipient'!E75*1000,0))</f>
        <v/>
      </c>
      <c r="C75" s="317" t="e">
        <f>Mellomregninger!DJ75</f>
        <v>#VALUE!</v>
      </c>
      <c r="D75" s="317" t="e">
        <f>Mellomregninger!DV75</f>
        <v>#VALUE!</v>
      </c>
      <c r="E75" s="317" t="e">
        <f>Mellomregninger!EH75</f>
        <v>#VALUE!</v>
      </c>
      <c r="F75" s="317" t="e">
        <f>Mellomregninger!EV75</f>
        <v>#VALUE!</v>
      </c>
      <c r="G75" s="318" t="e">
        <f>B75/Stoff!$G75</f>
        <v>#VALUE!</v>
      </c>
      <c r="H75" s="318" t="e">
        <f>C75/Stoff!$G75</f>
        <v>#VALUE!</v>
      </c>
      <c r="I75" s="318" t="e">
        <f>D75/Stoff!$G75</f>
        <v>#VALUE!</v>
      </c>
      <c r="J75" s="318" t="e">
        <f>E75/Stoff!$G75</f>
        <v>#VALUE!</v>
      </c>
      <c r="K75" s="319" t="e">
        <f>Mellomregninger!EW75</f>
        <v>#VALUE!</v>
      </c>
      <c r="L75" s="318" t="e">
        <f>F75/Stoff!$G75</f>
        <v>#VALUE!</v>
      </c>
      <c r="M75" s="318" t="str">
        <f>IF(Mellomregninger!B75="","",Mellomregninger!S75)</f>
        <v/>
      </c>
      <c r="N75" s="320" t="e">
        <f>Mellomregninger!DC75+Mellomregninger!DK75</f>
        <v>#VALUE!</v>
      </c>
      <c r="O75" s="318" t="e">
        <f>Mellomregninger!DO75+Mellomregninger!DW75</f>
        <v>#VALUE!</v>
      </c>
      <c r="P75" s="318" t="e">
        <f>Mellomregninger!EA75+Mellomregninger!EI75</f>
        <v>#VALUE!</v>
      </c>
      <c r="Q75" s="318" t="e">
        <f>Mellomregninger!EX75</f>
        <v>#VALUE!</v>
      </c>
      <c r="R75" s="318" t="e">
        <f>Mellomregninger!EM75+Mellomregninger!EP75</f>
        <v>#VALUE!</v>
      </c>
    </row>
    <row r="76" spans="1:18" x14ac:dyDescent="0.35">
      <c r="A76" s="239" t="s">
        <v>133</v>
      </c>
      <c r="B76" s="317" t="str">
        <f>IF(Mellomregninger!B76="","",IF(ISNUMBER('1f. Kons. resipient'!E76),'1f. Kons. resipient'!E76*1000,0))</f>
        <v/>
      </c>
      <c r="C76" s="317" t="e">
        <f>Mellomregninger!DJ76</f>
        <v>#VALUE!</v>
      </c>
      <c r="D76" s="317" t="e">
        <f>Mellomregninger!DV76</f>
        <v>#VALUE!</v>
      </c>
      <c r="E76" s="317" t="e">
        <f>Mellomregninger!EH76</f>
        <v>#VALUE!</v>
      </c>
      <c r="F76" s="317" t="e">
        <f>Mellomregninger!EV76</f>
        <v>#VALUE!</v>
      </c>
      <c r="G76" s="318" t="e">
        <f>B76/Stoff!$G76</f>
        <v>#VALUE!</v>
      </c>
      <c r="H76" s="318" t="e">
        <f>C76/Stoff!$G76</f>
        <v>#VALUE!</v>
      </c>
      <c r="I76" s="318" t="e">
        <f>D76/Stoff!$G76</f>
        <v>#VALUE!</v>
      </c>
      <c r="J76" s="318" t="e">
        <f>E76/Stoff!$G76</f>
        <v>#VALUE!</v>
      </c>
      <c r="K76" s="319" t="e">
        <f>Mellomregninger!EW76</f>
        <v>#VALUE!</v>
      </c>
      <c r="L76" s="318" t="e">
        <f>F76/Stoff!$G76</f>
        <v>#VALUE!</v>
      </c>
      <c r="M76" s="318" t="str">
        <f>IF(Mellomregninger!B76="","",Mellomregninger!S76)</f>
        <v/>
      </c>
      <c r="N76" s="320" t="e">
        <f>Mellomregninger!DC76+Mellomregninger!DK76</f>
        <v>#VALUE!</v>
      </c>
      <c r="O76" s="318" t="e">
        <f>Mellomregninger!DO76+Mellomregninger!DW76</f>
        <v>#VALUE!</v>
      </c>
      <c r="P76" s="318" t="e">
        <f>Mellomregninger!EA76+Mellomregninger!EI76</f>
        <v>#VALUE!</v>
      </c>
      <c r="Q76" s="318" t="e">
        <f>Mellomregninger!EX76</f>
        <v>#VALUE!</v>
      </c>
      <c r="R76" s="318" t="e">
        <f>Mellomregninger!EM76+Mellomregninger!EP76</f>
        <v>#VALUE!</v>
      </c>
    </row>
    <row r="77" spans="1:18" x14ac:dyDescent="0.35">
      <c r="A77" s="239" t="s">
        <v>132</v>
      </c>
      <c r="B77" s="317" t="str">
        <f>IF(Mellomregninger!B77="","",IF(ISNUMBER('1f. Kons. resipient'!E77),'1f. Kons. resipient'!E77*1000,0))</f>
        <v/>
      </c>
      <c r="C77" s="317" t="e">
        <f>Mellomregninger!DJ77</f>
        <v>#VALUE!</v>
      </c>
      <c r="D77" s="317" t="e">
        <f>Mellomregninger!DV77</f>
        <v>#VALUE!</v>
      </c>
      <c r="E77" s="317" t="e">
        <f>Mellomregninger!EH77</f>
        <v>#VALUE!</v>
      </c>
      <c r="F77" s="317" t="e">
        <f>Mellomregninger!EV77</f>
        <v>#VALUE!</v>
      </c>
      <c r="G77" s="318" t="e">
        <f>B77/Stoff!$G77</f>
        <v>#VALUE!</v>
      </c>
      <c r="H77" s="318" t="e">
        <f>C77/Stoff!$G77</f>
        <v>#VALUE!</v>
      </c>
      <c r="I77" s="318" t="e">
        <f>D77/Stoff!$G77</f>
        <v>#VALUE!</v>
      </c>
      <c r="J77" s="318" t="e">
        <f>E77/Stoff!$G77</f>
        <v>#VALUE!</v>
      </c>
      <c r="K77" s="319" t="e">
        <f>Mellomregninger!EW77</f>
        <v>#VALUE!</v>
      </c>
      <c r="L77" s="318" t="e">
        <f>F77/Stoff!$G77</f>
        <v>#VALUE!</v>
      </c>
      <c r="M77" s="318" t="str">
        <f>IF(Mellomregninger!B77="","",Mellomregninger!S77)</f>
        <v/>
      </c>
      <c r="N77" s="320" t="e">
        <f>Mellomregninger!DC77+Mellomregninger!DK77</f>
        <v>#VALUE!</v>
      </c>
      <c r="O77" s="318" t="e">
        <f>Mellomregninger!DO77+Mellomregninger!DW77</f>
        <v>#VALUE!</v>
      </c>
      <c r="P77" s="318" t="e">
        <f>Mellomregninger!EA77+Mellomregninger!EI77</f>
        <v>#VALUE!</v>
      </c>
      <c r="Q77" s="318" t="e">
        <f>Mellomregninger!EX77</f>
        <v>#VALUE!</v>
      </c>
      <c r="R77" s="318" t="e">
        <f>Mellomregninger!EM77+Mellomregninger!EP77</f>
        <v>#VALUE!</v>
      </c>
    </row>
    <row r="78" spans="1:18" x14ac:dyDescent="0.35">
      <c r="A78" s="239" t="s">
        <v>131</v>
      </c>
      <c r="B78" s="317" t="str">
        <f>IF(Mellomregninger!B78="","",IF(ISNUMBER('1f. Kons. resipient'!E78),'1f. Kons. resipient'!E78*1000,0))</f>
        <v/>
      </c>
      <c r="C78" s="317" t="e">
        <f>Mellomregninger!DJ78</f>
        <v>#VALUE!</v>
      </c>
      <c r="D78" s="317" t="e">
        <f>Mellomregninger!DV78</f>
        <v>#VALUE!</v>
      </c>
      <c r="E78" s="317" t="e">
        <f>Mellomregninger!EH78</f>
        <v>#VALUE!</v>
      </c>
      <c r="F78" s="317" t="e">
        <f>Mellomregninger!EV78</f>
        <v>#VALUE!</v>
      </c>
      <c r="G78" s="318" t="e">
        <f>B78/Stoff!$G78</f>
        <v>#VALUE!</v>
      </c>
      <c r="H78" s="318" t="e">
        <f>C78/Stoff!$G78</f>
        <v>#VALUE!</v>
      </c>
      <c r="I78" s="318" t="e">
        <f>D78/Stoff!$G78</f>
        <v>#VALUE!</v>
      </c>
      <c r="J78" s="318" t="e">
        <f>E78/Stoff!$G78</f>
        <v>#VALUE!</v>
      </c>
      <c r="K78" s="319" t="e">
        <f>Mellomregninger!EW78</f>
        <v>#VALUE!</v>
      </c>
      <c r="L78" s="318" t="e">
        <f>F78/Stoff!$G78</f>
        <v>#VALUE!</v>
      </c>
      <c r="M78" s="318" t="str">
        <f>IF(Mellomregninger!B78="","",Mellomregninger!S78)</f>
        <v/>
      </c>
      <c r="N78" s="320" t="e">
        <f>Mellomregninger!DC78+Mellomregninger!DK78</f>
        <v>#VALUE!</v>
      </c>
      <c r="O78" s="318" t="e">
        <f>Mellomregninger!DO78+Mellomregninger!DW78</f>
        <v>#VALUE!</v>
      </c>
      <c r="P78" s="318" t="e">
        <f>Mellomregninger!EA78+Mellomregninger!EI78</f>
        <v>#VALUE!</v>
      </c>
      <c r="Q78" s="318" t="e">
        <f>Mellomregninger!EX78</f>
        <v>#VALUE!</v>
      </c>
      <c r="R78" s="318" t="e">
        <f>Mellomregninger!EM78+Mellomregninger!EP78</f>
        <v>#VALUE!</v>
      </c>
    </row>
    <row r="79" spans="1:18" x14ac:dyDescent="0.35">
      <c r="A79" s="239" t="s">
        <v>130</v>
      </c>
      <c r="B79" s="317" t="str">
        <f>IF(Mellomregninger!B79="","",IF(ISNUMBER('1f. Kons. resipient'!E79),'1f. Kons. resipient'!E79*1000,0))</f>
        <v/>
      </c>
      <c r="C79" s="317" t="e">
        <f>Mellomregninger!DJ79</f>
        <v>#VALUE!</v>
      </c>
      <c r="D79" s="317" t="e">
        <f>Mellomregninger!DV79</f>
        <v>#VALUE!</v>
      </c>
      <c r="E79" s="317" t="e">
        <f>Mellomregninger!EH79</f>
        <v>#VALUE!</v>
      </c>
      <c r="F79" s="317" t="e">
        <f>Mellomregninger!EV79</f>
        <v>#VALUE!</v>
      </c>
      <c r="G79" s="318" t="e">
        <f>B79/Stoff!$G79</f>
        <v>#VALUE!</v>
      </c>
      <c r="H79" s="318" t="e">
        <f>C79/Stoff!$G79</f>
        <v>#VALUE!</v>
      </c>
      <c r="I79" s="318" t="e">
        <f>D79/Stoff!$G79</f>
        <v>#VALUE!</v>
      </c>
      <c r="J79" s="318" t="e">
        <f>E79/Stoff!$G79</f>
        <v>#VALUE!</v>
      </c>
      <c r="K79" s="319" t="e">
        <f>Mellomregninger!EW79</f>
        <v>#VALUE!</v>
      </c>
      <c r="L79" s="318" t="e">
        <f>F79/Stoff!$G79</f>
        <v>#VALUE!</v>
      </c>
      <c r="M79" s="318" t="str">
        <f>IF(Mellomregninger!B79="","",Mellomregninger!S79)</f>
        <v/>
      </c>
      <c r="N79" s="320" t="e">
        <f>Mellomregninger!DC79+Mellomregninger!DK79</f>
        <v>#VALUE!</v>
      </c>
      <c r="O79" s="318" t="e">
        <f>Mellomregninger!DO79+Mellomregninger!DW79</f>
        <v>#VALUE!</v>
      </c>
      <c r="P79" s="318" t="e">
        <f>Mellomregninger!EA79+Mellomregninger!EI79</f>
        <v>#VALUE!</v>
      </c>
      <c r="Q79" s="318" t="e">
        <f>Mellomregninger!EX79</f>
        <v>#VALUE!</v>
      </c>
      <c r="R79" s="318" t="e">
        <f>Mellomregninger!EM79+Mellomregninger!EP79</f>
        <v>#VALUE!</v>
      </c>
    </row>
    <row r="80" spans="1:18" x14ac:dyDescent="0.35">
      <c r="A80" s="239" t="s">
        <v>129</v>
      </c>
      <c r="B80" s="317" t="str">
        <f>IF(Mellomregninger!B80="","",IF(ISNUMBER('1f. Kons. resipient'!E80),'1f. Kons. resipient'!E80*1000,0))</f>
        <v/>
      </c>
      <c r="C80" s="317" t="e">
        <f>Mellomregninger!DJ80</f>
        <v>#VALUE!</v>
      </c>
      <c r="D80" s="317" t="e">
        <f>Mellomregninger!DV80</f>
        <v>#VALUE!</v>
      </c>
      <c r="E80" s="317" t="e">
        <f>Mellomregninger!EH80</f>
        <v>#VALUE!</v>
      </c>
      <c r="F80" s="317" t="e">
        <f>Mellomregninger!EV80</f>
        <v>#VALUE!</v>
      </c>
      <c r="G80" s="318" t="e">
        <f>B80/Stoff!$G80</f>
        <v>#VALUE!</v>
      </c>
      <c r="H80" s="318" t="e">
        <f>C80/Stoff!$G80</f>
        <v>#VALUE!</v>
      </c>
      <c r="I80" s="318" t="e">
        <f>D80/Stoff!$G80</f>
        <v>#VALUE!</v>
      </c>
      <c r="J80" s="318" t="e">
        <f>E80/Stoff!$G80</f>
        <v>#VALUE!</v>
      </c>
      <c r="K80" s="319" t="e">
        <f>Mellomregninger!EW80</f>
        <v>#VALUE!</v>
      </c>
      <c r="L80" s="318" t="e">
        <f>F80/Stoff!$G80</f>
        <v>#VALUE!</v>
      </c>
      <c r="M80" s="318" t="str">
        <f>IF(Mellomregninger!B80="","",Mellomregninger!S80)</f>
        <v/>
      </c>
      <c r="N80" s="320" t="e">
        <f>Mellomregninger!DC80+Mellomregninger!DK80</f>
        <v>#VALUE!</v>
      </c>
      <c r="O80" s="318" t="e">
        <f>Mellomregninger!DO80+Mellomregninger!DW80</f>
        <v>#VALUE!</v>
      </c>
      <c r="P80" s="318" t="e">
        <f>Mellomregninger!EA80+Mellomregninger!EI80</f>
        <v>#VALUE!</v>
      </c>
      <c r="Q80" s="318" t="e">
        <f>Mellomregninger!EX80</f>
        <v>#VALUE!</v>
      </c>
      <c r="R80" s="318" t="e">
        <f>Mellomregninger!EM80+Mellomregninger!EP80</f>
        <v>#VALUE!</v>
      </c>
    </row>
    <row r="81" spans="1:18" x14ac:dyDescent="0.35">
      <c r="A81" s="239" t="s">
        <v>128</v>
      </c>
      <c r="B81" s="317" t="str">
        <f>IF(Mellomregninger!B81="","",IF(ISNUMBER('1f. Kons. resipient'!E81),'1f. Kons. resipient'!E81*1000,0))</f>
        <v/>
      </c>
      <c r="C81" s="317" t="e">
        <f>Mellomregninger!DJ81</f>
        <v>#VALUE!</v>
      </c>
      <c r="D81" s="317" t="e">
        <f>Mellomregninger!DV81</f>
        <v>#VALUE!</v>
      </c>
      <c r="E81" s="317" t="e">
        <f>Mellomregninger!EH81</f>
        <v>#VALUE!</v>
      </c>
      <c r="F81" s="317" t="e">
        <f>Mellomregninger!EV81</f>
        <v>#VALUE!</v>
      </c>
      <c r="G81" s="318" t="e">
        <f>B81/Stoff!$G81</f>
        <v>#VALUE!</v>
      </c>
      <c r="H81" s="318" t="e">
        <f>C81/Stoff!$G81</f>
        <v>#VALUE!</v>
      </c>
      <c r="I81" s="318" t="e">
        <f>D81/Stoff!$G81</f>
        <v>#VALUE!</v>
      </c>
      <c r="J81" s="318" t="e">
        <f>E81/Stoff!$G81</f>
        <v>#VALUE!</v>
      </c>
      <c r="K81" s="319" t="e">
        <f>Mellomregninger!EW81</f>
        <v>#VALUE!</v>
      </c>
      <c r="L81" s="318" t="e">
        <f>F81/Stoff!$G81</f>
        <v>#VALUE!</v>
      </c>
      <c r="M81" s="318" t="str">
        <f>IF(Mellomregninger!B81="","",Mellomregninger!S81)</f>
        <v/>
      </c>
      <c r="N81" s="320" t="e">
        <f>Mellomregninger!DC81+Mellomregninger!DK81</f>
        <v>#VALUE!</v>
      </c>
      <c r="O81" s="318" t="e">
        <f>Mellomregninger!DO81+Mellomregninger!DW81</f>
        <v>#VALUE!</v>
      </c>
      <c r="P81" s="318" t="e">
        <f>Mellomregninger!EA81+Mellomregninger!EI81</f>
        <v>#VALUE!</v>
      </c>
      <c r="Q81" s="318" t="e">
        <f>Mellomregninger!EX81</f>
        <v>#VALUE!</v>
      </c>
      <c r="R81" s="318" t="e">
        <f>Mellomregninger!EM81+Mellomregninger!EP81</f>
        <v>#VALUE!</v>
      </c>
    </row>
    <row r="82" spans="1:18" x14ac:dyDescent="0.35">
      <c r="A82" s="239" t="s">
        <v>127</v>
      </c>
      <c r="B82" s="317" t="str">
        <f>IF(Mellomregninger!B82="","",IF(ISNUMBER('1f. Kons. resipient'!E82),'1f. Kons. resipient'!E82*1000,0))</f>
        <v/>
      </c>
      <c r="C82" s="317" t="e">
        <f>Mellomregninger!DJ82</f>
        <v>#VALUE!</v>
      </c>
      <c r="D82" s="317" t="e">
        <f>Mellomregninger!DV82</f>
        <v>#VALUE!</v>
      </c>
      <c r="E82" s="317" t="e">
        <f>Mellomregninger!EH82</f>
        <v>#VALUE!</v>
      </c>
      <c r="F82" s="317" t="e">
        <f>Mellomregninger!EV82</f>
        <v>#VALUE!</v>
      </c>
      <c r="G82" s="318" t="e">
        <f>B82/Stoff!$G82</f>
        <v>#VALUE!</v>
      </c>
      <c r="H82" s="318" t="e">
        <f>C82/Stoff!$G82</f>
        <v>#VALUE!</v>
      </c>
      <c r="I82" s="318" t="e">
        <f>D82/Stoff!$G82</f>
        <v>#VALUE!</v>
      </c>
      <c r="J82" s="318" t="e">
        <f>E82/Stoff!$G82</f>
        <v>#VALUE!</v>
      </c>
      <c r="K82" s="319" t="e">
        <f>Mellomregninger!EW82</f>
        <v>#VALUE!</v>
      </c>
      <c r="L82" s="318" t="e">
        <f>F82/Stoff!$G82</f>
        <v>#VALUE!</v>
      </c>
      <c r="M82" s="318" t="str">
        <f>IF(Mellomregninger!B82="","",Mellomregninger!S82)</f>
        <v/>
      </c>
      <c r="N82" s="320" t="e">
        <f>Mellomregninger!DC82+Mellomregninger!DK82</f>
        <v>#VALUE!</v>
      </c>
      <c r="O82" s="318" t="e">
        <f>Mellomregninger!DO82+Mellomregninger!DW82</f>
        <v>#VALUE!</v>
      </c>
      <c r="P82" s="318" t="e">
        <f>Mellomregninger!EA82+Mellomregninger!EI82</f>
        <v>#VALUE!</v>
      </c>
      <c r="Q82" s="318" t="e">
        <f>Mellomregninger!EX82</f>
        <v>#VALUE!</v>
      </c>
      <c r="R82" s="318" t="e">
        <f>Mellomregninger!EM82+Mellomregninger!EP82</f>
        <v>#VALUE!</v>
      </c>
    </row>
    <row r="83" spans="1:18" x14ac:dyDescent="0.35">
      <c r="A83" s="239" t="s">
        <v>126</v>
      </c>
      <c r="B83" s="317" t="str">
        <f>IF(Mellomregninger!B83="","",IF(ISNUMBER('1f. Kons. resipient'!E83),'1f. Kons. resipient'!E83*1000,0))</f>
        <v/>
      </c>
      <c r="C83" s="317" t="e">
        <f>Mellomregninger!DJ83</f>
        <v>#VALUE!</v>
      </c>
      <c r="D83" s="317" t="e">
        <f>Mellomregninger!DV83</f>
        <v>#VALUE!</v>
      </c>
      <c r="E83" s="317" t="e">
        <f>Mellomregninger!EH83</f>
        <v>#VALUE!</v>
      </c>
      <c r="F83" s="317" t="e">
        <f>Mellomregninger!EV83</f>
        <v>#VALUE!</v>
      </c>
      <c r="G83" s="318" t="e">
        <f>B83/Stoff!$G83</f>
        <v>#VALUE!</v>
      </c>
      <c r="H83" s="318" t="e">
        <f>C83/Stoff!$G83</f>
        <v>#VALUE!</v>
      </c>
      <c r="I83" s="318" t="e">
        <f>D83/Stoff!$G83</f>
        <v>#VALUE!</v>
      </c>
      <c r="J83" s="318" t="e">
        <f>E83/Stoff!$G83</f>
        <v>#VALUE!</v>
      </c>
      <c r="K83" s="319" t="e">
        <f>Mellomregninger!EW83</f>
        <v>#VALUE!</v>
      </c>
      <c r="L83" s="318" t="e">
        <f>F83/Stoff!$G83</f>
        <v>#VALUE!</v>
      </c>
      <c r="M83" s="318" t="str">
        <f>IF(Mellomregninger!B83="","",Mellomregninger!S83)</f>
        <v/>
      </c>
      <c r="N83" s="320" t="e">
        <f>Mellomregninger!DC83+Mellomregninger!DK83</f>
        <v>#VALUE!</v>
      </c>
      <c r="O83" s="318" t="e">
        <f>Mellomregninger!DO83+Mellomregninger!DW83</f>
        <v>#VALUE!</v>
      </c>
      <c r="P83" s="318" t="e">
        <f>Mellomregninger!EA83+Mellomregninger!EI83</f>
        <v>#VALUE!</v>
      </c>
      <c r="Q83" s="318" t="e">
        <f>Mellomregninger!EX83</f>
        <v>#VALUE!</v>
      </c>
      <c r="R83" s="318" t="e">
        <f>Mellomregninger!EM83+Mellomregninger!EP83</f>
        <v>#VALUE!</v>
      </c>
    </row>
    <row r="84" spans="1:18" x14ac:dyDescent="0.35">
      <c r="A84" s="239" t="s">
        <v>125</v>
      </c>
      <c r="B84" s="317" t="str">
        <f>IF(Mellomregninger!B84="","",IF(ISNUMBER('1f. Kons. resipient'!E84),'1f. Kons. resipient'!E84*1000,0))</f>
        <v/>
      </c>
      <c r="C84" s="317" t="e">
        <f>Mellomregninger!DJ84</f>
        <v>#VALUE!</v>
      </c>
      <c r="D84" s="317" t="e">
        <f>Mellomregninger!DV84</f>
        <v>#VALUE!</v>
      </c>
      <c r="E84" s="317" t="e">
        <f>Mellomregninger!EH84</f>
        <v>#VALUE!</v>
      </c>
      <c r="F84" s="317" t="e">
        <f>Mellomregninger!EV84</f>
        <v>#VALUE!</v>
      </c>
      <c r="G84" s="318" t="e">
        <f>B84/Stoff!$G84</f>
        <v>#VALUE!</v>
      </c>
      <c r="H84" s="318" t="e">
        <f>C84/Stoff!$G84</f>
        <v>#VALUE!</v>
      </c>
      <c r="I84" s="318" t="e">
        <f>D84/Stoff!$G84</f>
        <v>#VALUE!</v>
      </c>
      <c r="J84" s="318" t="e">
        <f>E84/Stoff!$G84</f>
        <v>#VALUE!</v>
      </c>
      <c r="K84" s="319" t="e">
        <f>Mellomregninger!EW84</f>
        <v>#VALUE!</v>
      </c>
      <c r="L84" s="318" t="e">
        <f>F84/Stoff!$G84</f>
        <v>#VALUE!</v>
      </c>
      <c r="M84" s="318" t="str">
        <f>IF(Mellomregninger!B84="","",Mellomregninger!S84)</f>
        <v/>
      </c>
      <c r="N84" s="320" t="e">
        <f>Mellomregninger!DC84+Mellomregninger!DK84</f>
        <v>#VALUE!</v>
      </c>
      <c r="O84" s="318" t="e">
        <f>Mellomregninger!DO84+Mellomregninger!DW84</f>
        <v>#VALUE!</v>
      </c>
      <c r="P84" s="318" t="e">
        <f>Mellomregninger!EA84+Mellomregninger!EI84</f>
        <v>#VALUE!</v>
      </c>
      <c r="Q84" s="318" t="e">
        <f>Mellomregninger!EX84</f>
        <v>#VALUE!</v>
      </c>
      <c r="R84" s="318" t="e">
        <f>Mellomregninger!EM84+Mellomregninger!EP84</f>
        <v>#VALUE!</v>
      </c>
    </row>
    <row r="85" spans="1:18" x14ac:dyDescent="0.35">
      <c r="A85" s="239" t="s">
        <v>124</v>
      </c>
      <c r="B85" s="317" t="str">
        <f>IF(Mellomregninger!B85="","",IF(ISNUMBER('1f. Kons. resipient'!E85),'1f. Kons. resipient'!E85*1000,0))</f>
        <v/>
      </c>
      <c r="C85" s="317" t="e">
        <f>Mellomregninger!DJ85</f>
        <v>#VALUE!</v>
      </c>
      <c r="D85" s="317" t="e">
        <f>Mellomregninger!DV85</f>
        <v>#VALUE!</v>
      </c>
      <c r="E85" s="317" t="e">
        <f>Mellomregninger!EH85</f>
        <v>#VALUE!</v>
      </c>
      <c r="F85" s="317" t="e">
        <f>Mellomregninger!EV85</f>
        <v>#VALUE!</v>
      </c>
      <c r="G85" s="318" t="e">
        <f>B85/Stoff!$G85</f>
        <v>#VALUE!</v>
      </c>
      <c r="H85" s="318" t="e">
        <f>C85/Stoff!$G85</f>
        <v>#VALUE!</v>
      </c>
      <c r="I85" s="318" t="e">
        <f>D85/Stoff!$G85</f>
        <v>#VALUE!</v>
      </c>
      <c r="J85" s="318" t="e">
        <f>E85/Stoff!$G85</f>
        <v>#VALUE!</v>
      </c>
      <c r="K85" s="319" t="e">
        <f>Mellomregninger!EW85</f>
        <v>#VALUE!</v>
      </c>
      <c r="L85" s="318" t="e">
        <f>F85/Stoff!$G85</f>
        <v>#VALUE!</v>
      </c>
      <c r="M85" s="318" t="str">
        <f>IF(Mellomregninger!B85="","",Mellomregninger!S85)</f>
        <v/>
      </c>
      <c r="N85" s="320" t="e">
        <f>Mellomregninger!DC85+Mellomregninger!DK85</f>
        <v>#VALUE!</v>
      </c>
      <c r="O85" s="318" t="e">
        <f>Mellomregninger!DO85+Mellomregninger!DW85</f>
        <v>#VALUE!</v>
      </c>
      <c r="P85" s="318" t="e">
        <f>Mellomregninger!EA85+Mellomregninger!EI85</f>
        <v>#VALUE!</v>
      </c>
      <c r="Q85" s="318" t="e">
        <f>Mellomregninger!EX85</f>
        <v>#VALUE!</v>
      </c>
      <c r="R85" s="318" t="e">
        <f>Mellomregninger!EM85+Mellomregninger!EP85</f>
        <v>#VALUE!</v>
      </c>
    </row>
    <row r="86" spans="1:18" x14ac:dyDescent="0.35">
      <c r="A86" s="239" t="s">
        <v>123</v>
      </c>
      <c r="B86" s="317" t="str">
        <f>IF(Mellomregninger!B86="","",IF(ISNUMBER('1f. Kons. resipient'!E86),'1f. Kons. resipient'!E86*1000,0))</f>
        <v/>
      </c>
      <c r="C86" s="317" t="e">
        <f>Mellomregninger!DJ86</f>
        <v>#VALUE!</v>
      </c>
      <c r="D86" s="317" t="e">
        <f>Mellomregninger!DV86</f>
        <v>#VALUE!</v>
      </c>
      <c r="E86" s="317" t="e">
        <f>Mellomregninger!EH86</f>
        <v>#VALUE!</v>
      </c>
      <c r="F86" s="317" t="e">
        <f>Mellomregninger!EV86</f>
        <v>#VALUE!</v>
      </c>
      <c r="G86" s="318" t="e">
        <f>B86/Stoff!$G86</f>
        <v>#VALUE!</v>
      </c>
      <c r="H86" s="318" t="e">
        <f>C86/Stoff!$G86</f>
        <v>#VALUE!</v>
      </c>
      <c r="I86" s="318" t="e">
        <f>D86/Stoff!$G86</f>
        <v>#VALUE!</v>
      </c>
      <c r="J86" s="318" t="e">
        <f>E86/Stoff!$G86</f>
        <v>#VALUE!</v>
      </c>
      <c r="K86" s="319" t="e">
        <f>Mellomregninger!EW86</f>
        <v>#VALUE!</v>
      </c>
      <c r="L86" s="318" t="e">
        <f>F86/Stoff!$G86</f>
        <v>#VALUE!</v>
      </c>
      <c r="M86" s="318" t="str">
        <f>IF(Mellomregninger!B86="","",Mellomregninger!S86)</f>
        <v/>
      </c>
      <c r="N86" s="320" t="e">
        <f>Mellomregninger!DC86+Mellomregninger!DK86</f>
        <v>#VALUE!</v>
      </c>
      <c r="O86" s="318" t="e">
        <f>Mellomregninger!DO86+Mellomregninger!DW86</f>
        <v>#VALUE!</v>
      </c>
      <c r="P86" s="318" t="e">
        <f>Mellomregninger!EA86+Mellomregninger!EI86</f>
        <v>#VALUE!</v>
      </c>
      <c r="Q86" s="318" t="e">
        <f>Mellomregninger!EX86</f>
        <v>#VALUE!</v>
      </c>
      <c r="R86" s="318" t="e">
        <f>Mellomregninger!EM86+Mellomregninger!EP86</f>
        <v>#VALUE!</v>
      </c>
    </row>
    <row r="87" spans="1:18" x14ac:dyDescent="0.35">
      <c r="A87" s="301" t="str">
        <f>Stoff!A87</f>
        <v>nystoff 1</v>
      </c>
      <c r="B87" s="317" t="str">
        <f>IF(Mellomregninger!B87="","",IF(ISNUMBER('1f. Kons. resipient'!E87),'1f. Kons. resipient'!E87*1000,0))</f>
        <v/>
      </c>
      <c r="C87" s="317" t="e">
        <f>Mellomregninger!DJ87</f>
        <v>#VALUE!</v>
      </c>
      <c r="D87" s="317" t="e">
        <f>Mellomregninger!DV87</f>
        <v>#VALUE!</v>
      </c>
      <c r="E87" s="317" t="e">
        <f>Mellomregninger!EH87</f>
        <v>#VALUE!</v>
      </c>
      <c r="F87" s="317" t="e">
        <f>Mellomregninger!EV87</f>
        <v>#VALUE!</v>
      </c>
      <c r="G87" s="318" t="e">
        <f>B87/Stoff!$G87</f>
        <v>#VALUE!</v>
      </c>
      <c r="H87" s="318" t="e">
        <f>C87/Stoff!$G87</f>
        <v>#VALUE!</v>
      </c>
      <c r="I87" s="318" t="e">
        <f>D87/Stoff!$G87</f>
        <v>#VALUE!</v>
      </c>
      <c r="J87" s="318" t="e">
        <f>E87/Stoff!$G87</f>
        <v>#VALUE!</v>
      </c>
      <c r="K87" s="319" t="e">
        <f>Mellomregninger!EW87</f>
        <v>#VALUE!</v>
      </c>
      <c r="L87" s="318" t="e">
        <f>F87/Stoff!$G87</f>
        <v>#VALUE!</v>
      </c>
      <c r="M87" s="318" t="str">
        <f>IF(Mellomregninger!B87="","",Mellomregninger!S87)</f>
        <v/>
      </c>
      <c r="N87" s="320" t="e">
        <f>Mellomregninger!DC87+Mellomregninger!DK87</f>
        <v>#VALUE!</v>
      </c>
      <c r="O87" s="318" t="e">
        <f>Mellomregninger!DO87+Mellomregninger!DW87</f>
        <v>#VALUE!</v>
      </c>
      <c r="P87" s="318" t="e">
        <f>Mellomregninger!EA87+Mellomregninger!EI87</f>
        <v>#VALUE!</v>
      </c>
      <c r="Q87" s="318" t="e">
        <f>Mellomregninger!EX87</f>
        <v>#VALUE!</v>
      </c>
      <c r="R87" s="318" t="e">
        <f>Mellomregninger!EM87+Mellomregninger!EP87</f>
        <v>#VALUE!</v>
      </c>
    </row>
    <row r="88" spans="1:18" x14ac:dyDescent="0.35">
      <c r="A88" s="301" t="str">
        <f>Stoff!A88</f>
        <v>nystoff 2</v>
      </c>
      <c r="B88" s="317" t="str">
        <f>IF(Mellomregninger!B88="","",IF(ISNUMBER('1f. Kons. resipient'!E88),'1f. Kons. resipient'!E88*1000,0))</f>
        <v/>
      </c>
      <c r="C88" s="317" t="e">
        <f>Mellomregninger!DJ88</f>
        <v>#VALUE!</v>
      </c>
      <c r="D88" s="317" t="e">
        <f>Mellomregninger!DV88</f>
        <v>#VALUE!</v>
      </c>
      <c r="E88" s="317" t="e">
        <f>Mellomregninger!EH88</f>
        <v>#VALUE!</v>
      </c>
      <c r="F88" s="317" t="e">
        <f>Mellomregninger!EV88</f>
        <v>#VALUE!</v>
      </c>
      <c r="G88" s="318" t="e">
        <f>B88/Stoff!$G88</f>
        <v>#VALUE!</v>
      </c>
      <c r="H88" s="318" t="e">
        <f>C88/Stoff!$G88</f>
        <v>#VALUE!</v>
      </c>
      <c r="I88" s="318" t="e">
        <f>D88/Stoff!$G88</f>
        <v>#VALUE!</v>
      </c>
      <c r="J88" s="318" t="e">
        <f>E88/Stoff!$G88</f>
        <v>#VALUE!</v>
      </c>
      <c r="K88" s="318" t="e">
        <f>Mellomregninger!EW88</f>
        <v>#VALUE!</v>
      </c>
      <c r="L88" s="318" t="e">
        <f>F88/Stoff!$G88</f>
        <v>#VALUE!</v>
      </c>
      <c r="M88" s="318" t="str">
        <f>IF(Mellomregninger!B88="","",Mellomregninger!S88)</f>
        <v/>
      </c>
      <c r="N88" s="320" t="e">
        <f>Mellomregninger!DC88+Mellomregninger!DK88</f>
        <v>#VALUE!</v>
      </c>
      <c r="O88" s="318" t="e">
        <f>Mellomregninger!DO88+Mellomregninger!DW88</f>
        <v>#VALUE!</v>
      </c>
      <c r="P88" s="318" t="e">
        <f>Mellomregninger!EA88+Mellomregninger!EI88</f>
        <v>#VALUE!</v>
      </c>
      <c r="Q88" s="318" t="e">
        <f>Mellomregninger!EX88</f>
        <v>#VALUE!</v>
      </c>
      <c r="R88" s="318" t="e">
        <f>Mellomregninger!EM88+Mellomregninger!EP88</f>
        <v>#VALUE!</v>
      </c>
    </row>
    <row r="89" spans="1:18" x14ac:dyDescent="0.35">
      <c r="A89" s="301" t="str">
        <f>Stoff!A89</f>
        <v>nystoff 3</v>
      </c>
      <c r="B89" s="317" t="str">
        <f>IF(Mellomregninger!B89="","",IF(ISNUMBER('1f. Kons. resipient'!E89),'1f. Kons. resipient'!E89*1000,0))</f>
        <v/>
      </c>
      <c r="C89" s="317" t="e">
        <f>Mellomregninger!DJ89</f>
        <v>#VALUE!</v>
      </c>
      <c r="D89" s="317" t="e">
        <f>Mellomregninger!DV89</f>
        <v>#VALUE!</v>
      </c>
      <c r="E89" s="317" t="e">
        <f>Mellomregninger!EH89</f>
        <v>#VALUE!</v>
      </c>
      <c r="F89" s="317" t="e">
        <f>Mellomregninger!EV89</f>
        <v>#VALUE!</v>
      </c>
      <c r="G89" s="318" t="e">
        <f>B89/Stoff!$G89</f>
        <v>#VALUE!</v>
      </c>
      <c r="H89" s="318" t="e">
        <f>C89/Stoff!$G89</f>
        <v>#VALUE!</v>
      </c>
      <c r="I89" s="318" t="e">
        <f>D89/Stoff!$G89</f>
        <v>#VALUE!</v>
      </c>
      <c r="J89" s="318" t="e">
        <f>E89/Stoff!$G89</f>
        <v>#VALUE!</v>
      </c>
      <c r="K89" s="318" t="e">
        <f>Mellomregninger!EW89</f>
        <v>#VALUE!</v>
      </c>
      <c r="L89" s="318" t="e">
        <f>F89/Stoff!$G89</f>
        <v>#VALUE!</v>
      </c>
      <c r="M89" s="318" t="str">
        <f>IF(Mellomregninger!B89="","",Mellomregninger!S89)</f>
        <v/>
      </c>
      <c r="N89" s="320" t="e">
        <f>Mellomregninger!DC89+Mellomregninger!DK89</f>
        <v>#VALUE!</v>
      </c>
      <c r="O89" s="318" t="e">
        <f>Mellomregninger!DO89+Mellomregninger!DW89</f>
        <v>#VALUE!</v>
      </c>
      <c r="P89" s="318" t="e">
        <f>Mellomregninger!EA89+Mellomregninger!EI89</f>
        <v>#VALUE!</v>
      </c>
      <c r="Q89" s="318" t="e">
        <f>Mellomregninger!EX89</f>
        <v>#VALUE!</v>
      </c>
      <c r="R89" s="318" t="e">
        <f>Mellomregninger!EM89+Mellomregninger!EP89</f>
        <v>#VALUE!</v>
      </c>
    </row>
    <row r="90" spans="1:18" x14ac:dyDescent="0.35">
      <c r="A90" s="301" t="str">
        <f>Stoff!A90</f>
        <v>nystoff 4</v>
      </c>
      <c r="B90" s="317" t="str">
        <f>IF(Mellomregninger!B90="","",IF(ISNUMBER('1f. Kons. resipient'!E90),'1f. Kons. resipient'!E90*1000,0))</f>
        <v/>
      </c>
      <c r="C90" s="317" t="e">
        <f>Mellomregninger!DJ90</f>
        <v>#VALUE!</v>
      </c>
      <c r="D90" s="317" t="e">
        <f>Mellomregninger!DV90</f>
        <v>#VALUE!</v>
      </c>
      <c r="E90" s="317" t="e">
        <f>Mellomregninger!EH90</f>
        <v>#VALUE!</v>
      </c>
      <c r="F90" s="317" t="e">
        <f>Mellomregninger!EV90</f>
        <v>#VALUE!</v>
      </c>
      <c r="G90" s="318" t="e">
        <f>B90/Stoff!$G90</f>
        <v>#VALUE!</v>
      </c>
      <c r="H90" s="318" t="e">
        <f>C90/Stoff!$G90</f>
        <v>#VALUE!</v>
      </c>
      <c r="I90" s="318" t="e">
        <f>D90/Stoff!$G90</f>
        <v>#VALUE!</v>
      </c>
      <c r="J90" s="318" t="e">
        <f>E90/Stoff!$G90</f>
        <v>#VALUE!</v>
      </c>
      <c r="K90" s="318" t="e">
        <f>Mellomregninger!EW90</f>
        <v>#VALUE!</v>
      </c>
      <c r="L90" s="318" t="e">
        <f>F90/Stoff!$G90</f>
        <v>#VALUE!</v>
      </c>
      <c r="M90" s="318" t="str">
        <f>IF(Mellomregninger!B90="","",Mellomregninger!S90)</f>
        <v/>
      </c>
      <c r="N90" s="320" t="e">
        <f>Mellomregninger!DC90+Mellomregninger!DK90</f>
        <v>#VALUE!</v>
      </c>
      <c r="O90" s="318" t="e">
        <f>Mellomregninger!DO90+Mellomregninger!DW90</f>
        <v>#VALUE!</v>
      </c>
      <c r="P90" s="318" t="e">
        <f>Mellomregninger!EA90+Mellomregninger!EI90</f>
        <v>#VALUE!</v>
      </c>
      <c r="Q90" s="318" t="e">
        <f>Mellomregninger!EX90</f>
        <v>#VALUE!</v>
      </c>
      <c r="R90" s="318" t="e">
        <f>Mellomregninger!EM90+Mellomregninger!EP90</f>
        <v>#VALUE!</v>
      </c>
    </row>
    <row r="91" spans="1:18" x14ac:dyDescent="0.35">
      <c r="A91" s="301" t="str">
        <f>Stoff!A91</f>
        <v>nystoff 5</v>
      </c>
      <c r="B91" s="317" t="str">
        <f>IF(Mellomregninger!B91="","",IF(ISNUMBER('1f. Kons. resipient'!E91),'1f. Kons. resipient'!E91*1000,0))</f>
        <v/>
      </c>
      <c r="C91" s="317" t="e">
        <f>Mellomregninger!DJ91</f>
        <v>#VALUE!</v>
      </c>
      <c r="D91" s="317" t="e">
        <f>Mellomregninger!DV91</f>
        <v>#VALUE!</v>
      </c>
      <c r="E91" s="317" t="e">
        <f>Mellomregninger!EH91</f>
        <v>#VALUE!</v>
      </c>
      <c r="F91" s="317" t="e">
        <f>Mellomregninger!EV91</f>
        <v>#VALUE!</v>
      </c>
      <c r="G91" s="318" t="e">
        <f>B91/Stoff!$G91</f>
        <v>#VALUE!</v>
      </c>
      <c r="H91" s="318" t="e">
        <f>C91/Stoff!$G91</f>
        <v>#VALUE!</v>
      </c>
      <c r="I91" s="318" t="e">
        <f>D91/Stoff!$G91</f>
        <v>#VALUE!</v>
      </c>
      <c r="J91" s="318" t="e">
        <f>E91/Stoff!$G91</f>
        <v>#VALUE!</v>
      </c>
      <c r="K91" s="318" t="e">
        <f>Mellomregninger!EW91</f>
        <v>#VALUE!</v>
      </c>
      <c r="L91" s="318" t="e">
        <f>F91/Stoff!$G91</f>
        <v>#VALUE!</v>
      </c>
      <c r="M91" s="318" t="str">
        <f>IF(Mellomregninger!B91="","",Mellomregninger!S91)</f>
        <v/>
      </c>
      <c r="N91" s="320" t="e">
        <f>Mellomregninger!DC91+Mellomregninger!DK91</f>
        <v>#VALUE!</v>
      </c>
      <c r="O91" s="318" t="e">
        <f>Mellomregninger!DO91+Mellomregninger!DW91</f>
        <v>#VALUE!</v>
      </c>
      <c r="P91" s="318" t="e">
        <f>Mellomregninger!EA91+Mellomregninger!EI91</f>
        <v>#VALUE!</v>
      </c>
      <c r="Q91" s="318" t="e">
        <f>Mellomregninger!EX91</f>
        <v>#VALUE!</v>
      </c>
      <c r="R91" s="318" t="e">
        <f>Mellomregninger!EM91+Mellomregninger!EP91</f>
        <v>#VALUE!</v>
      </c>
    </row>
    <row r="92" spans="1:18" x14ac:dyDescent="0.35">
      <c r="A92" s="301" t="str">
        <f>Stoff!A92</f>
        <v>nystoff 6</v>
      </c>
      <c r="B92" s="317" t="str">
        <f>IF(Mellomregninger!B92="","",IF(ISNUMBER('1f. Kons. resipient'!E92),'1f. Kons. resipient'!E92*1000,0))</f>
        <v/>
      </c>
      <c r="C92" s="317" t="e">
        <f>Mellomregninger!DJ92</f>
        <v>#VALUE!</v>
      </c>
      <c r="D92" s="317" t="e">
        <f>Mellomregninger!DV92</f>
        <v>#VALUE!</v>
      </c>
      <c r="E92" s="317" t="e">
        <f>Mellomregninger!EH92</f>
        <v>#VALUE!</v>
      </c>
      <c r="F92" s="317" t="e">
        <f>Mellomregninger!EV92</f>
        <v>#VALUE!</v>
      </c>
      <c r="G92" s="318" t="e">
        <f>B92/Stoff!$G92</f>
        <v>#VALUE!</v>
      </c>
      <c r="H92" s="318" t="e">
        <f>C92/Stoff!$G92</f>
        <v>#VALUE!</v>
      </c>
      <c r="I92" s="318" t="e">
        <f>D92/Stoff!$G92</f>
        <v>#VALUE!</v>
      </c>
      <c r="J92" s="318" t="e">
        <f>E92/Stoff!$G92</f>
        <v>#VALUE!</v>
      </c>
      <c r="K92" s="318" t="e">
        <f>Mellomregninger!EW92</f>
        <v>#VALUE!</v>
      </c>
      <c r="L92" s="318" t="e">
        <f>F92/Stoff!$G92</f>
        <v>#VALUE!</v>
      </c>
      <c r="M92" s="318" t="str">
        <f>IF(Mellomregninger!B92="","",Mellomregninger!S92)</f>
        <v/>
      </c>
      <c r="N92" s="320" t="e">
        <f>Mellomregninger!DC92+Mellomregninger!DK92</f>
        <v>#VALUE!</v>
      </c>
      <c r="O92" s="318" t="e">
        <f>Mellomregninger!DO92+Mellomregninger!DW92</f>
        <v>#VALUE!</v>
      </c>
      <c r="P92" s="318" t="e">
        <f>Mellomregninger!EA92+Mellomregninger!EI92</f>
        <v>#VALUE!</v>
      </c>
      <c r="Q92" s="318" t="e">
        <f>Mellomregninger!EX92</f>
        <v>#VALUE!</v>
      </c>
      <c r="R92" s="318" t="e">
        <f>Mellomregninger!EM92+Mellomregninger!EP92</f>
        <v>#VALUE!</v>
      </c>
    </row>
    <row r="93" spans="1:18" x14ac:dyDescent="0.35">
      <c r="A93" s="301" t="str">
        <f>Stoff!A93</f>
        <v>nystoff 7</v>
      </c>
      <c r="B93" s="317" t="str">
        <f>IF(Mellomregninger!B93="","",IF(ISNUMBER('1f. Kons. resipient'!E93),'1f. Kons. resipient'!E93*1000,0))</f>
        <v/>
      </c>
      <c r="C93" s="317" t="e">
        <f>Mellomregninger!DJ93</f>
        <v>#VALUE!</v>
      </c>
      <c r="D93" s="317" t="e">
        <f>Mellomregninger!DV93</f>
        <v>#VALUE!</v>
      </c>
      <c r="E93" s="317" t="e">
        <f>Mellomregninger!EH93</f>
        <v>#VALUE!</v>
      </c>
      <c r="F93" s="317" t="e">
        <f>Mellomregninger!EV93</f>
        <v>#VALUE!</v>
      </c>
      <c r="G93" s="318" t="e">
        <f>B93/Stoff!$G93</f>
        <v>#VALUE!</v>
      </c>
      <c r="H93" s="318" t="e">
        <f>C93/Stoff!$G93</f>
        <v>#VALUE!</v>
      </c>
      <c r="I93" s="318" t="e">
        <f>D93/Stoff!$G93</f>
        <v>#VALUE!</v>
      </c>
      <c r="J93" s="318" t="e">
        <f>E93/Stoff!$G93</f>
        <v>#VALUE!</v>
      </c>
      <c r="K93" s="318" t="e">
        <f>Mellomregninger!EW93</f>
        <v>#VALUE!</v>
      </c>
      <c r="L93" s="318" t="e">
        <f>F93/Stoff!$G93</f>
        <v>#VALUE!</v>
      </c>
      <c r="M93" s="318" t="str">
        <f>IF(Mellomregninger!B93="","",Mellomregninger!S93)</f>
        <v/>
      </c>
      <c r="N93" s="320" t="e">
        <f>Mellomregninger!DC93+Mellomregninger!DK93</f>
        <v>#VALUE!</v>
      </c>
      <c r="O93" s="318" t="e">
        <f>Mellomregninger!DO93+Mellomregninger!DW93</f>
        <v>#VALUE!</v>
      </c>
      <c r="P93" s="318" t="e">
        <f>Mellomregninger!EA93+Mellomregninger!EI93</f>
        <v>#VALUE!</v>
      </c>
      <c r="Q93" s="318" t="e">
        <f>Mellomregninger!EX93</f>
        <v>#VALUE!</v>
      </c>
      <c r="R93" s="318" t="e">
        <f>Mellomregninger!EM93+Mellomregninger!EP93</f>
        <v>#VALUE!</v>
      </c>
    </row>
    <row r="94" spans="1:18" x14ac:dyDescent="0.35">
      <c r="A94" s="301" t="str">
        <f>Stoff!A94</f>
        <v>nystoff 8</v>
      </c>
      <c r="B94" s="317" t="str">
        <f>IF(Mellomregninger!B94="","",IF(ISNUMBER('1f. Kons. resipient'!E94),'1f. Kons. resipient'!E94*1000,0))</f>
        <v/>
      </c>
      <c r="C94" s="317" t="e">
        <f>Mellomregninger!DJ94</f>
        <v>#VALUE!</v>
      </c>
      <c r="D94" s="317" t="e">
        <f>Mellomregninger!DV94</f>
        <v>#VALUE!</v>
      </c>
      <c r="E94" s="317" t="e">
        <f>Mellomregninger!EH94</f>
        <v>#VALUE!</v>
      </c>
      <c r="F94" s="317" t="e">
        <f>Mellomregninger!EV94</f>
        <v>#VALUE!</v>
      </c>
      <c r="G94" s="318" t="e">
        <f>B94/Stoff!$G94</f>
        <v>#VALUE!</v>
      </c>
      <c r="H94" s="318" t="e">
        <f>C94/Stoff!$G94</f>
        <v>#VALUE!</v>
      </c>
      <c r="I94" s="318" t="e">
        <f>D94/Stoff!$G94</f>
        <v>#VALUE!</v>
      </c>
      <c r="J94" s="318" t="e">
        <f>E94/Stoff!$G94</f>
        <v>#VALUE!</v>
      </c>
      <c r="K94" s="318" t="e">
        <f>Mellomregninger!EW94</f>
        <v>#VALUE!</v>
      </c>
      <c r="L94" s="318" t="e">
        <f>F94/Stoff!$G94</f>
        <v>#VALUE!</v>
      </c>
      <c r="M94" s="318" t="str">
        <f>IF(Mellomregninger!B94="","",Mellomregninger!S94)</f>
        <v/>
      </c>
      <c r="N94" s="320" t="e">
        <f>Mellomregninger!DC94+Mellomregninger!DK94</f>
        <v>#VALUE!</v>
      </c>
      <c r="O94" s="318" t="e">
        <f>Mellomregninger!DO94+Mellomregninger!DW94</f>
        <v>#VALUE!</v>
      </c>
      <c r="P94" s="318" t="e">
        <f>Mellomregninger!EA94+Mellomregninger!EI94</f>
        <v>#VALUE!</v>
      </c>
      <c r="Q94" s="318" t="e">
        <f>Mellomregninger!EX94</f>
        <v>#VALUE!</v>
      </c>
      <c r="R94" s="318" t="e">
        <f>Mellomregninger!EM94+Mellomregninger!EP94</f>
        <v>#VALUE!</v>
      </c>
    </row>
    <row r="95" spans="1:18" x14ac:dyDescent="0.35">
      <c r="A95" s="301" t="str">
        <f>Stoff!A95</f>
        <v>nystoff 9</v>
      </c>
      <c r="B95" s="317" t="str">
        <f>IF(Mellomregninger!B95="","",IF(ISNUMBER('1f. Kons. resipient'!E95),'1f. Kons. resipient'!E95*1000,0))</f>
        <v/>
      </c>
      <c r="C95" s="317" t="e">
        <f>Mellomregninger!DJ95</f>
        <v>#VALUE!</v>
      </c>
      <c r="D95" s="317" t="e">
        <f>Mellomregninger!DV95</f>
        <v>#VALUE!</v>
      </c>
      <c r="E95" s="317" t="e">
        <f>Mellomregninger!EH95</f>
        <v>#VALUE!</v>
      </c>
      <c r="F95" s="317" t="e">
        <f>Mellomregninger!EV95</f>
        <v>#VALUE!</v>
      </c>
      <c r="G95" s="318" t="e">
        <f>B95/Stoff!$G95</f>
        <v>#VALUE!</v>
      </c>
      <c r="H95" s="318" t="e">
        <f>C95/Stoff!$G95</f>
        <v>#VALUE!</v>
      </c>
      <c r="I95" s="318" t="e">
        <f>D95/Stoff!$G95</f>
        <v>#VALUE!</v>
      </c>
      <c r="J95" s="318" t="e">
        <f>E95/Stoff!$G95</f>
        <v>#VALUE!</v>
      </c>
      <c r="K95" s="318" t="e">
        <f>Mellomregninger!EW95</f>
        <v>#VALUE!</v>
      </c>
      <c r="L95" s="318" t="e">
        <f>F95/Stoff!$G95</f>
        <v>#VALUE!</v>
      </c>
      <c r="M95" s="318" t="str">
        <f>IF(Mellomregninger!B95="","",Mellomregninger!S95)</f>
        <v/>
      </c>
      <c r="N95" s="320" t="e">
        <f>Mellomregninger!DC95+Mellomregninger!DK95</f>
        <v>#VALUE!</v>
      </c>
      <c r="O95" s="318" t="e">
        <f>Mellomregninger!DO95+Mellomregninger!DW95</f>
        <v>#VALUE!</v>
      </c>
      <c r="P95" s="318" t="e">
        <f>Mellomregninger!EA95+Mellomregninger!EI95</f>
        <v>#VALUE!</v>
      </c>
      <c r="Q95" s="318" t="e">
        <f>Mellomregninger!EX95</f>
        <v>#VALUE!</v>
      </c>
      <c r="R95" s="318" t="e">
        <f>Mellomregninger!EM95+Mellomregninger!EP95</f>
        <v>#VALUE!</v>
      </c>
    </row>
    <row r="96" spans="1:18" x14ac:dyDescent="0.35">
      <c r="A96" s="301" t="str">
        <f>Stoff!A96</f>
        <v>nystoff 10</v>
      </c>
      <c r="B96" s="317" t="str">
        <f>IF(Mellomregninger!B96="","",IF(ISNUMBER('1f. Kons. resipient'!E96),'1f. Kons. resipient'!E96*1000,0))</f>
        <v/>
      </c>
      <c r="C96" s="317" t="e">
        <f>Mellomregninger!DJ96</f>
        <v>#VALUE!</v>
      </c>
      <c r="D96" s="317" t="e">
        <f>Mellomregninger!DV96</f>
        <v>#VALUE!</v>
      </c>
      <c r="E96" s="317" t="e">
        <f>Mellomregninger!EH96</f>
        <v>#VALUE!</v>
      </c>
      <c r="F96" s="317" t="e">
        <f>Mellomregninger!EV96</f>
        <v>#VALUE!</v>
      </c>
      <c r="G96" s="318" t="e">
        <f>B96/Stoff!$G96</f>
        <v>#VALUE!</v>
      </c>
      <c r="H96" s="318" t="e">
        <f>C96/Stoff!$G96</f>
        <v>#VALUE!</v>
      </c>
      <c r="I96" s="318" t="e">
        <f>D96/Stoff!$G96</f>
        <v>#VALUE!</v>
      </c>
      <c r="J96" s="318" t="e">
        <f>E96/Stoff!$G96</f>
        <v>#VALUE!</v>
      </c>
      <c r="K96" s="318" t="e">
        <f>Mellomregninger!EW96</f>
        <v>#VALUE!</v>
      </c>
      <c r="L96" s="318" t="e">
        <f>F96/Stoff!$G96</f>
        <v>#VALUE!</v>
      </c>
      <c r="M96" s="318" t="str">
        <f>IF(Mellomregninger!B96="","",Mellomregninger!S96)</f>
        <v/>
      </c>
      <c r="N96" s="320" t="e">
        <f>Mellomregninger!DC96+Mellomregninger!DK96</f>
        <v>#VALUE!</v>
      </c>
      <c r="O96" s="318" t="e">
        <f>Mellomregninger!DO96+Mellomregninger!DW96</f>
        <v>#VALUE!</v>
      </c>
      <c r="P96" s="318" t="e">
        <f>Mellomregninger!EA96+Mellomregninger!EI96</f>
        <v>#VALUE!</v>
      </c>
      <c r="Q96" s="318" t="e">
        <f>Mellomregninger!EX96</f>
        <v>#VALUE!</v>
      </c>
      <c r="R96" s="318" t="e">
        <f>Mellomregninger!EM96+Mellomregninger!EP96</f>
        <v>#VALUE!</v>
      </c>
    </row>
    <row r="97" spans="1:18" x14ac:dyDescent="0.35">
      <c r="A97" s="301" t="str">
        <f>Stoff!A97</f>
        <v>nystoff 11</v>
      </c>
      <c r="B97" s="317" t="str">
        <f>IF(Mellomregninger!B97="","",IF(ISNUMBER('1f. Kons. resipient'!E97),'1f. Kons. resipient'!E97*1000,0))</f>
        <v/>
      </c>
      <c r="C97" s="317" t="e">
        <f>Mellomregninger!DJ97</f>
        <v>#VALUE!</v>
      </c>
      <c r="D97" s="317" t="e">
        <f>Mellomregninger!DV97</f>
        <v>#VALUE!</v>
      </c>
      <c r="E97" s="317" t="e">
        <f>Mellomregninger!EH97</f>
        <v>#VALUE!</v>
      </c>
      <c r="F97" s="317" t="e">
        <f>Mellomregninger!EV97</f>
        <v>#VALUE!</v>
      </c>
      <c r="G97" s="318" t="e">
        <f>B97/Stoff!$G97</f>
        <v>#VALUE!</v>
      </c>
      <c r="H97" s="318" t="e">
        <f>C97/Stoff!$G97</f>
        <v>#VALUE!</v>
      </c>
      <c r="I97" s="318" t="e">
        <f>D97/Stoff!$G97</f>
        <v>#VALUE!</v>
      </c>
      <c r="J97" s="318" t="e">
        <f>E97/Stoff!$G97</f>
        <v>#VALUE!</v>
      </c>
      <c r="K97" s="318" t="e">
        <f>Mellomregninger!EW97</f>
        <v>#VALUE!</v>
      </c>
      <c r="L97" s="318" t="e">
        <f>F97/Stoff!$G97</f>
        <v>#VALUE!</v>
      </c>
      <c r="M97" s="318" t="str">
        <f>IF(Mellomregninger!B97="","",Mellomregninger!S97)</f>
        <v/>
      </c>
      <c r="N97" s="320" t="e">
        <f>Mellomregninger!DC97+Mellomregninger!DK97</f>
        <v>#VALUE!</v>
      </c>
      <c r="O97" s="318" t="e">
        <f>Mellomregninger!DO97+Mellomregninger!DW97</f>
        <v>#VALUE!</v>
      </c>
      <c r="P97" s="318" t="e">
        <f>Mellomregninger!EA97+Mellomregninger!EI97</f>
        <v>#VALUE!</v>
      </c>
      <c r="Q97" s="318" t="e">
        <f>Mellomregninger!EX97</f>
        <v>#VALUE!</v>
      </c>
      <c r="R97" s="318" t="e">
        <f>Mellomregninger!EM97+Mellomregninger!EP97</f>
        <v>#VALUE!</v>
      </c>
    </row>
    <row r="98" spans="1:18" x14ac:dyDescent="0.35">
      <c r="A98" s="301" t="str">
        <f>Stoff!A98</f>
        <v>nystoff 12</v>
      </c>
      <c r="B98" s="317" t="str">
        <f>IF(Mellomregninger!B98="","",IF(ISNUMBER('1f. Kons. resipient'!E98),'1f. Kons. resipient'!E98*1000,0))</f>
        <v/>
      </c>
      <c r="C98" s="317" t="e">
        <f>Mellomregninger!DJ98</f>
        <v>#VALUE!</v>
      </c>
      <c r="D98" s="317" t="e">
        <f>Mellomregninger!DV98</f>
        <v>#VALUE!</v>
      </c>
      <c r="E98" s="317" t="e">
        <f>Mellomregninger!EH98</f>
        <v>#VALUE!</v>
      </c>
      <c r="F98" s="317" t="e">
        <f>Mellomregninger!EV98</f>
        <v>#VALUE!</v>
      </c>
      <c r="G98" s="318" t="e">
        <f>B98/Stoff!$G98</f>
        <v>#VALUE!</v>
      </c>
      <c r="H98" s="318" t="e">
        <f>C98/Stoff!$G98</f>
        <v>#VALUE!</v>
      </c>
      <c r="I98" s="318" t="e">
        <f>D98/Stoff!$G98</f>
        <v>#VALUE!</v>
      </c>
      <c r="J98" s="318" t="e">
        <f>E98/Stoff!$G98</f>
        <v>#VALUE!</v>
      </c>
      <c r="K98" s="318" t="e">
        <f>Mellomregninger!EW98</f>
        <v>#VALUE!</v>
      </c>
      <c r="L98" s="318" t="e">
        <f>F98/Stoff!$G98</f>
        <v>#VALUE!</v>
      </c>
      <c r="M98" s="318" t="str">
        <f>IF(Mellomregninger!B98="","",Mellomregninger!S98)</f>
        <v/>
      </c>
      <c r="N98" s="320" t="e">
        <f>Mellomregninger!DC98+Mellomregninger!DK98</f>
        <v>#VALUE!</v>
      </c>
      <c r="O98" s="318" t="e">
        <f>Mellomregninger!DO98+Mellomregninger!DW98</f>
        <v>#VALUE!</v>
      </c>
      <c r="P98" s="318" t="e">
        <f>Mellomregninger!EA98+Mellomregninger!EI98</f>
        <v>#VALUE!</v>
      </c>
      <c r="Q98" s="318" t="e">
        <f>Mellomregninger!EX98</f>
        <v>#VALUE!</v>
      </c>
      <c r="R98" s="318" t="e">
        <f>Mellomregninger!EM98+Mellomregninger!EP98</f>
        <v>#VALUE!</v>
      </c>
    </row>
    <row r="99" spans="1:18" x14ac:dyDescent="0.35">
      <c r="A99" s="301" t="str">
        <f>Stoff!A99</f>
        <v>nystoff 13</v>
      </c>
      <c r="B99" s="317" t="str">
        <f>IF(Mellomregninger!B99="","",IF(ISNUMBER('1f. Kons. resipient'!E99),'1f. Kons. resipient'!E99*1000,0))</f>
        <v/>
      </c>
      <c r="C99" s="317" t="e">
        <f>Mellomregninger!DJ99</f>
        <v>#VALUE!</v>
      </c>
      <c r="D99" s="317" t="e">
        <f>Mellomregninger!DV99</f>
        <v>#VALUE!</v>
      </c>
      <c r="E99" s="317" t="e">
        <f>Mellomregninger!EH99</f>
        <v>#VALUE!</v>
      </c>
      <c r="F99" s="317" t="e">
        <f>Mellomregninger!EV99</f>
        <v>#VALUE!</v>
      </c>
      <c r="G99" s="318" t="e">
        <f>B99/Stoff!$G99</f>
        <v>#VALUE!</v>
      </c>
      <c r="H99" s="318" t="e">
        <f>C99/Stoff!$G99</f>
        <v>#VALUE!</v>
      </c>
      <c r="I99" s="318" t="e">
        <f>D99/Stoff!$G99</f>
        <v>#VALUE!</v>
      </c>
      <c r="J99" s="318" t="e">
        <f>E99/Stoff!$G99</f>
        <v>#VALUE!</v>
      </c>
      <c r="K99" s="318" t="e">
        <f>Mellomregninger!EW99</f>
        <v>#VALUE!</v>
      </c>
      <c r="L99" s="318" t="e">
        <f>F99/Stoff!$G99</f>
        <v>#VALUE!</v>
      </c>
      <c r="M99" s="318" t="str">
        <f>IF(Mellomregninger!B99="","",Mellomregninger!S99)</f>
        <v/>
      </c>
      <c r="N99" s="320" t="e">
        <f>Mellomregninger!DC99+Mellomregninger!DK99</f>
        <v>#VALUE!</v>
      </c>
      <c r="O99" s="318" t="e">
        <f>Mellomregninger!DO99+Mellomregninger!DW99</f>
        <v>#VALUE!</v>
      </c>
      <c r="P99" s="318" t="e">
        <f>Mellomregninger!EA99+Mellomregninger!EI99</f>
        <v>#VALUE!</v>
      </c>
      <c r="Q99" s="318" t="e">
        <f>Mellomregninger!EX99</f>
        <v>#VALUE!</v>
      </c>
      <c r="R99" s="318" t="e">
        <f>Mellomregninger!EM99+Mellomregninger!EP99</f>
        <v>#VALUE!</v>
      </c>
    </row>
    <row r="100" spans="1:18" x14ac:dyDescent="0.35">
      <c r="A100" s="301" t="str">
        <f>Stoff!A100</f>
        <v>nystoff 14</v>
      </c>
      <c r="B100" s="317" t="str">
        <f>IF(Mellomregninger!B100="","",IF(ISNUMBER('1f. Kons. resipient'!E100),'1f. Kons. resipient'!E100*1000,0))</f>
        <v/>
      </c>
      <c r="C100" s="317" t="e">
        <f>Mellomregninger!DJ100</f>
        <v>#VALUE!</v>
      </c>
      <c r="D100" s="317" t="e">
        <f>Mellomregninger!DV100</f>
        <v>#VALUE!</v>
      </c>
      <c r="E100" s="317" t="e">
        <f>Mellomregninger!EH100</f>
        <v>#VALUE!</v>
      </c>
      <c r="F100" s="317" t="e">
        <f>Mellomregninger!EV100</f>
        <v>#VALUE!</v>
      </c>
      <c r="G100" s="318" t="e">
        <f>B100/Stoff!$G100</f>
        <v>#VALUE!</v>
      </c>
      <c r="H100" s="318" t="e">
        <f>C100/Stoff!$G100</f>
        <v>#VALUE!</v>
      </c>
      <c r="I100" s="318" t="e">
        <f>D100/Stoff!$G100</f>
        <v>#VALUE!</v>
      </c>
      <c r="J100" s="318" t="e">
        <f>E100/Stoff!$G100</f>
        <v>#VALUE!</v>
      </c>
      <c r="K100" s="318" t="e">
        <f>Mellomregninger!EW100</f>
        <v>#VALUE!</v>
      </c>
      <c r="L100" s="318" t="e">
        <f>F100/Stoff!$G100</f>
        <v>#VALUE!</v>
      </c>
      <c r="M100" s="318" t="str">
        <f>IF(Mellomregninger!B100="","",Mellomregninger!S100)</f>
        <v/>
      </c>
      <c r="N100" s="320" t="e">
        <f>Mellomregninger!DC100+Mellomregninger!DK100</f>
        <v>#VALUE!</v>
      </c>
      <c r="O100" s="318" t="e">
        <f>Mellomregninger!DO100+Mellomregninger!DW100</f>
        <v>#VALUE!</v>
      </c>
      <c r="P100" s="318" t="e">
        <f>Mellomregninger!EA100+Mellomregninger!EI100</f>
        <v>#VALUE!</v>
      </c>
      <c r="Q100" s="318" t="e">
        <f>Mellomregninger!EX100</f>
        <v>#VALUE!</v>
      </c>
      <c r="R100" s="318" t="e">
        <f>Mellomregninger!EM100+Mellomregninger!EP100</f>
        <v>#VALUE!</v>
      </c>
    </row>
    <row r="101" spans="1:18" x14ac:dyDescent="0.35">
      <c r="A101" s="301" t="str">
        <f>Stoff!A101</f>
        <v>nystoff 15</v>
      </c>
      <c r="B101" s="317" t="str">
        <f>IF(Mellomregninger!B101="","",IF(ISNUMBER('1f. Kons. resipient'!E101),'1f. Kons. resipient'!E101*1000,0))</f>
        <v/>
      </c>
      <c r="C101" s="317" t="e">
        <f>Mellomregninger!DJ101</f>
        <v>#VALUE!</v>
      </c>
      <c r="D101" s="317" t="e">
        <f>Mellomregninger!DV101</f>
        <v>#VALUE!</v>
      </c>
      <c r="E101" s="317" t="e">
        <f>Mellomregninger!EH101</f>
        <v>#VALUE!</v>
      </c>
      <c r="F101" s="317" t="e">
        <f>Mellomregninger!EV101</f>
        <v>#VALUE!</v>
      </c>
      <c r="G101" s="318" t="e">
        <f>B101/Stoff!$G101</f>
        <v>#VALUE!</v>
      </c>
      <c r="H101" s="318" t="e">
        <f>C101/Stoff!$G101</f>
        <v>#VALUE!</v>
      </c>
      <c r="I101" s="318" t="e">
        <f>D101/Stoff!$G101</f>
        <v>#VALUE!</v>
      </c>
      <c r="J101" s="318" t="e">
        <f>E101/Stoff!$G101</f>
        <v>#VALUE!</v>
      </c>
      <c r="K101" s="318" t="e">
        <f>Mellomregninger!EW101</f>
        <v>#VALUE!</v>
      </c>
      <c r="L101" s="318" t="e">
        <f>F101/Stoff!$G101</f>
        <v>#VALUE!</v>
      </c>
      <c r="M101" s="318" t="str">
        <f>IF(Mellomregninger!B101="","",Mellomregninger!S101)</f>
        <v/>
      </c>
      <c r="N101" s="320" t="e">
        <f>Mellomregninger!DC101+Mellomregninger!DK101</f>
        <v>#VALUE!</v>
      </c>
      <c r="O101" s="318" t="e">
        <f>Mellomregninger!DO101+Mellomregninger!DW101</f>
        <v>#VALUE!</v>
      </c>
      <c r="P101" s="318" t="e">
        <f>Mellomregninger!EA101+Mellomregninger!EI101</f>
        <v>#VALUE!</v>
      </c>
      <c r="Q101" s="318" t="e">
        <f>Mellomregninger!EX101</f>
        <v>#VALUE!</v>
      </c>
      <c r="R101" s="318" t="e">
        <f>Mellomregninger!EM101+Mellomregninger!EP101</f>
        <v>#VALUE!</v>
      </c>
    </row>
    <row r="102" spans="1:18" x14ac:dyDescent="0.35">
      <c r="A102" s="301" t="str">
        <f>Stoff!A102</f>
        <v>nystoff 16</v>
      </c>
      <c r="B102" s="317" t="str">
        <f>IF(Mellomregninger!B102="","",IF(ISNUMBER('1f. Kons. resipient'!E102),'1f. Kons. resipient'!E102*1000,0))</f>
        <v/>
      </c>
      <c r="C102" s="317" t="e">
        <f>Mellomregninger!DJ102</f>
        <v>#VALUE!</v>
      </c>
      <c r="D102" s="317" t="e">
        <f>Mellomregninger!DV102</f>
        <v>#VALUE!</v>
      </c>
      <c r="E102" s="317" t="e">
        <f>Mellomregninger!EH102</f>
        <v>#VALUE!</v>
      </c>
      <c r="F102" s="317" t="e">
        <f>Mellomregninger!EV102</f>
        <v>#VALUE!</v>
      </c>
      <c r="G102" s="318" t="e">
        <f>B102/Stoff!$G102</f>
        <v>#VALUE!</v>
      </c>
      <c r="H102" s="318" t="e">
        <f>C102/Stoff!$G102</f>
        <v>#VALUE!</v>
      </c>
      <c r="I102" s="318" t="e">
        <f>D102/Stoff!$G102</f>
        <v>#VALUE!</v>
      </c>
      <c r="J102" s="318" t="e">
        <f>E102/Stoff!$G102</f>
        <v>#VALUE!</v>
      </c>
      <c r="K102" s="318" t="e">
        <f>Mellomregninger!EW102</f>
        <v>#VALUE!</v>
      </c>
      <c r="L102" s="318" t="e">
        <f>F102/Stoff!$G102</f>
        <v>#VALUE!</v>
      </c>
      <c r="M102" s="318" t="str">
        <f>IF(Mellomregninger!B102="","",Mellomregninger!S102)</f>
        <v/>
      </c>
      <c r="N102" s="320" t="e">
        <f>Mellomregninger!DC102+Mellomregninger!DK102</f>
        <v>#VALUE!</v>
      </c>
      <c r="O102" s="318" t="e">
        <f>Mellomregninger!DO102+Mellomregninger!DW102</f>
        <v>#VALUE!</v>
      </c>
      <c r="P102" s="318" t="e">
        <f>Mellomregninger!EA102+Mellomregninger!EI102</f>
        <v>#VALUE!</v>
      </c>
      <c r="Q102" s="318" t="e">
        <f>Mellomregninger!EX102</f>
        <v>#VALUE!</v>
      </c>
      <c r="R102" s="318" t="e">
        <f>Mellomregninger!EM102+Mellomregninger!EP102</f>
        <v>#VALUE!</v>
      </c>
    </row>
    <row r="103" spans="1:18" x14ac:dyDescent="0.35">
      <c r="A103" s="301" t="str">
        <f>Stoff!A103</f>
        <v>nystoff 17</v>
      </c>
      <c r="B103" s="317" t="str">
        <f>IF(Mellomregninger!B103="","",IF(ISNUMBER('1f. Kons. resipient'!E103),'1f. Kons. resipient'!E103*1000,0))</f>
        <v/>
      </c>
      <c r="C103" s="317" t="e">
        <f>Mellomregninger!DJ103</f>
        <v>#VALUE!</v>
      </c>
      <c r="D103" s="317" t="e">
        <f>Mellomregninger!DV103</f>
        <v>#VALUE!</v>
      </c>
      <c r="E103" s="317" t="e">
        <f>Mellomregninger!EH103</f>
        <v>#VALUE!</v>
      </c>
      <c r="F103" s="317" t="e">
        <f>Mellomregninger!EV103</f>
        <v>#VALUE!</v>
      </c>
      <c r="G103" s="318" t="e">
        <f>B103/Stoff!$G103</f>
        <v>#VALUE!</v>
      </c>
      <c r="H103" s="318" t="e">
        <f>C103/Stoff!$G103</f>
        <v>#VALUE!</v>
      </c>
      <c r="I103" s="318" t="e">
        <f>D103/Stoff!$G103</f>
        <v>#VALUE!</v>
      </c>
      <c r="J103" s="318" t="e">
        <f>E103/Stoff!$G103</f>
        <v>#VALUE!</v>
      </c>
      <c r="K103" s="318" t="e">
        <f>Mellomregninger!EW103</f>
        <v>#VALUE!</v>
      </c>
      <c r="L103" s="318" t="e">
        <f>F103/Stoff!$G103</f>
        <v>#VALUE!</v>
      </c>
      <c r="M103" s="318" t="str">
        <f>IF(Mellomregninger!B103="","",Mellomregninger!S103)</f>
        <v/>
      </c>
      <c r="N103" s="320" t="e">
        <f>Mellomregninger!DC103+Mellomregninger!DK103</f>
        <v>#VALUE!</v>
      </c>
      <c r="O103" s="318" t="e">
        <f>Mellomregninger!DO103+Mellomregninger!DW103</f>
        <v>#VALUE!</v>
      </c>
      <c r="P103" s="318" t="e">
        <f>Mellomregninger!EA103+Mellomregninger!EI103</f>
        <v>#VALUE!</v>
      </c>
      <c r="Q103" s="318" t="e">
        <f>Mellomregninger!EX103</f>
        <v>#VALUE!</v>
      </c>
      <c r="R103" s="318" t="e">
        <f>Mellomregninger!EM103+Mellomregninger!EP103</f>
        <v>#VALUE!</v>
      </c>
    </row>
    <row r="104" spans="1:18" x14ac:dyDescent="0.35">
      <c r="A104" s="301" t="str">
        <f>Stoff!A104</f>
        <v>nystoff 18</v>
      </c>
      <c r="B104" s="317" t="str">
        <f>IF(Mellomregninger!B104="","",IF(ISNUMBER('1f. Kons. resipient'!E104),'1f. Kons. resipient'!E104*1000,0))</f>
        <v/>
      </c>
      <c r="C104" s="317" t="e">
        <f>Mellomregninger!DJ104</f>
        <v>#VALUE!</v>
      </c>
      <c r="D104" s="317" t="e">
        <f>Mellomregninger!DV104</f>
        <v>#VALUE!</v>
      </c>
      <c r="E104" s="317" t="e">
        <f>Mellomregninger!EH104</f>
        <v>#VALUE!</v>
      </c>
      <c r="F104" s="317" t="e">
        <f>Mellomregninger!EV104</f>
        <v>#VALUE!</v>
      </c>
      <c r="G104" s="318" t="e">
        <f>B104/Stoff!$G104</f>
        <v>#VALUE!</v>
      </c>
      <c r="H104" s="318" t="e">
        <f>C104/Stoff!$G104</f>
        <v>#VALUE!</v>
      </c>
      <c r="I104" s="318" t="e">
        <f>D104/Stoff!$G104</f>
        <v>#VALUE!</v>
      </c>
      <c r="J104" s="318" t="e">
        <f>E104/Stoff!$G104</f>
        <v>#VALUE!</v>
      </c>
      <c r="K104" s="318" t="e">
        <f>Mellomregninger!EW104</f>
        <v>#VALUE!</v>
      </c>
      <c r="L104" s="318" t="e">
        <f>F104/Stoff!$G104</f>
        <v>#VALUE!</v>
      </c>
      <c r="M104" s="318" t="str">
        <f>IF(Mellomregninger!B104="","",Mellomregninger!S104)</f>
        <v/>
      </c>
      <c r="N104" s="320" t="e">
        <f>Mellomregninger!DC104+Mellomregninger!DK104</f>
        <v>#VALUE!</v>
      </c>
      <c r="O104" s="318" t="e">
        <f>Mellomregninger!DO104+Mellomregninger!DW104</f>
        <v>#VALUE!</v>
      </c>
      <c r="P104" s="318" t="e">
        <f>Mellomregninger!EA104+Mellomregninger!EI104</f>
        <v>#VALUE!</v>
      </c>
      <c r="Q104" s="318" t="e">
        <f>Mellomregninger!EX104</f>
        <v>#VALUE!</v>
      </c>
      <c r="R104" s="318" t="e">
        <f>Mellomregninger!EM104+Mellomregninger!EP104</f>
        <v>#VALUE!</v>
      </c>
    </row>
    <row r="105" spans="1:18" x14ac:dyDescent="0.35">
      <c r="A105" s="301" t="str">
        <f>Stoff!A105</f>
        <v>nystoff 19</v>
      </c>
      <c r="B105" s="317" t="str">
        <f>IF(Mellomregninger!B105="","",IF(ISNUMBER('1f. Kons. resipient'!E105),'1f. Kons. resipient'!E105*1000,0))</f>
        <v/>
      </c>
      <c r="C105" s="317" t="e">
        <f>Mellomregninger!DJ105</f>
        <v>#VALUE!</v>
      </c>
      <c r="D105" s="317" t="e">
        <f>Mellomregninger!DV105</f>
        <v>#VALUE!</v>
      </c>
      <c r="E105" s="317" t="e">
        <f>Mellomregninger!EH105</f>
        <v>#VALUE!</v>
      </c>
      <c r="F105" s="317" t="e">
        <f>Mellomregninger!EV105</f>
        <v>#VALUE!</v>
      </c>
      <c r="G105" s="318" t="e">
        <f>B105/Stoff!$G105</f>
        <v>#VALUE!</v>
      </c>
      <c r="H105" s="318" t="e">
        <f>C105/Stoff!$G105</f>
        <v>#VALUE!</v>
      </c>
      <c r="I105" s="318" t="e">
        <f>D105/Stoff!$G105</f>
        <v>#VALUE!</v>
      </c>
      <c r="J105" s="318" t="e">
        <f>E105/Stoff!$G105</f>
        <v>#VALUE!</v>
      </c>
      <c r="K105" s="318" t="e">
        <f>Mellomregninger!EW105</f>
        <v>#VALUE!</v>
      </c>
      <c r="L105" s="318" t="e">
        <f>F105/Stoff!$G105</f>
        <v>#VALUE!</v>
      </c>
      <c r="M105" s="318" t="str">
        <f>IF(Mellomregninger!B105="","",Mellomregninger!S105)</f>
        <v/>
      </c>
      <c r="N105" s="320" t="e">
        <f>Mellomregninger!DC105+Mellomregninger!DK105</f>
        <v>#VALUE!</v>
      </c>
      <c r="O105" s="318" t="e">
        <f>Mellomregninger!DO105+Mellomregninger!DW105</f>
        <v>#VALUE!</v>
      </c>
      <c r="P105" s="318" t="e">
        <f>Mellomregninger!EA105+Mellomregninger!EI105</f>
        <v>#VALUE!</v>
      </c>
      <c r="Q105" s="318" t="e">
        <f>Mellomregninger!EX105</f>
        <v>#VALUE!</v>
      </c>
      <c r="R105" s="318" t="e">
        <f>Mellomregninger!EM105+Mellomregninger!EP105</f>
        <v>#VALUE!</v>
      </c>
    </row>
    <row r="106" spans="1:18" x14ac:dyDescent="0.35">
      <c r="A106" s="301" t="str">
        <f>Stoff!A106</f>
        <v>nystoff 20</v>
      </c>
      <c r="B106" s="317" t="str">
        <f>IF(Mellomregninger!B106="","",IF(ISNUMBER('1f. Kons. resipient'!E106),'1f. Kons. resipient'!E106*1000,0))</f>
        <v/>
      </c>
      <c r="C106" s="317" t="e">
        <f>Mellomregninger!DJ106</f>
        <v>#VALUE!</v>
      </c>
      <c r="D106" s="317" t="e">
        <f>Mellomregninger!DV106</f>
        <v>#VALUE!</v>
      </c>
      <c r="E106" s="317" t="e">
        <f>Mellomregninger!EH106</f>
        <v>#VALUE!</v>
      </c>
      <c r="F106" s="317" t="e">
        <f>Mellomregninger!EV106</f>
        <v>#VALUE!</v>
      </c>
      <c r="G106" s="318" t="e">
        <f>B106/Stoff!$G106</f>
        <v>#VALUE!</v>
      </c>
      <c r="H106" s="318" t="e">
        <f>C106/Stoff!$G106</f>
        <v>#VALUE!</v>
      </c>
      <c r="I106" s="318" t="e">
        <f>D106/Stoff!$G106</f>
        <v>#VALUE!</v>
      </c>
      <c r="J106" s="318" t="e">
        <f>E106/Stoff!$G106</f>
        <v>#VALUE!</v>
      </c>
      <c r="K106" s="318" t="e">
        <f>Mellomregninger!EW106</f>
        <v>#VALUE!</v>
      </c>
      <c r="L106" s="318" t="e">
        <f>F106/Stoff!$G106</f>
        <v>#VALUE!</v>
      </c>
      <c r="M106" s="318" t="str">
        <f>IF(Mellomregninger!B106="","",Mellomregninger!S106)</f>
        <v/>
      </c>
      <c r="N106" s="320" t="e">
        <f>Mellomregninger!DC106+Mellomregninger!DK106</f>
        <v>#VALUE!</v>
      </c>
      <c r="O106" s="318" t="e">
        <f>Mellomregninger!DO106+Mellomregninger!DW106</f>
        <v>#VALUE!</v>
      </c>
      <c r="P106" s="318" t="e">
        <f>Mellomregninger!EA106+Mellomregninger!EI106</f>
        <v>#VALUE!</v>
      </c>
      <c r="Q106" s="318" t="e">
        <f>Mellomregninger!EX106</f>
        <v>#VALUE!</v>
      </c>
      <c r="R106" s="318" t="e">
        <f>Mellomregninger!EM106+Mellomregninger!EP106</f>
        <v>#VALUE!</v>
      </c>
    </row>
    <row r="107" spans="1:18" x14ac:dyDescent="0.35">
      <c r="A107" s="301" t="str">
        <f>Stoff!A107</f>
        <v>nystoff 21</v>
      </c>
      <c r="B107" s="317" t="str">
        <f>IF(Mellomregninger!B107="","",IF(ISNUMBER('1f. Kons. resipient'!E107),'1f. Kons. resipient'!E107*1000,0))</f>
        <v/>
      </c>
      <c r="C107" s="317" t="e">
        <f>Mellomregninger!DJ107</f>
        <v>#VALUE!</v>
      </c>
      <c r="D107" s="317" t="e">
        <f>Mellomregninger!DV107</f>
        <v>#VALUE!</v>
      </c>
      <c r="E107" s="317" t="e">
        <f>Mellomregninger!EH107</f>
        <v>#VALUE!</v>
      </c>
      <c r="F107" s="317" t="e">
        <f>Mellomregninger!EV107</f>
        <v>#VALUE!</v>
      </c>
      <c r="G107" s="318" t="e">
        <f>B107/Stoff!$G107</f>
        <v>#VALUE!</v>
      </c>
      <c r="H107" s="318" t="e">
        <f>C107/Stoff!$G107</f>
        <v>#VALUE!</v>
      </c>
      <c r="I107" s="318" t="e">
        <f>D107/Stoff!$G107</f>
        <v>#VALUE!</v>
      </c>
      <c r="J107" s="318" t="e">
        <f>E107/Stoff!$G107</f>
        <v>#VALUE!</v>
      </c>
      <c r="K107" s="318" t="e">
        <f>Mellomregninger!EW107</f>
        <v>#VALUE!</v>
      </c>
      <c r="L107" s="318" t="e">
        <f>F107/Stoff!$G107</f>
        <v>#VALUE!</v>
      </c>
      <c r="M107" s="318" t="str">
        <f>IF(Mellomregninger!B107="","",Mellomregninger!S107)</f>
        <v/>
      </c>
      <c r="N107" s="320" t="e">
        <f>Mellomregninger!DC107+Mellomregninger!DK107</f>
        <v>#VALUE!</v>
      </c>
      <c r="O107" s="318" t="e">
        <f>Mellomregninger!DO107+Mellomregninger!DW107</f>
        <v>#VALUE!</v>
      </c>
      <c r="P107" s="318" t="e">
        <f>Mellomregninger!EA107+Mellomregninger!EI107</f>
        <v>#VALUE!</v>
      </c>
      <c r="Q107" s="318" t="e">
        <f>Mellomregninger!EX107</f>
        <v>#VALUE!</v>
      </c>
      <c r="R107" s="318" t="e">
        <f>Mellomregninger!EM107+Mellomregninger!EP107</f>
        <v>#VALUE!</v>
      </c>
    </row>
    <row r="108" spans="1:18" x14ac:dyDescent="0.35">
      <c r="A108" s="301" t="str">
        <f>Stoff!A108</f>
        <v>nystoff 22</v>
      </c>
      <c r="B108" s="317" t="str">
        <f>IF(Mellomregninger!B108="","",IF(ISNUMBER('1f. Kons. resipient'!E108),'1f. Kons. resipient'!E108*1000,0))</f>
        <v/>
      </c>
      <c r="C108" s="317" t="e">
        <f>Mellomregninger!DJ108</f>
        <v>#VALUE!</v>
      </c>
      <c r="D108" s="317" t="e">
        <f>Mellomregninger!DV108</f>
        <v>#VALUE!</v>
      </c>
      <c r="E108" s="317" t="e">
        <f>Mellomregninger!EH108</f>
        <v>#VALUE!</v>
      </c>
      <c r="F108" s="317" t="e">
        <f>Mellomregninger!EV108</f>
        <v>#VALUE!</v>
      </c>
      <c r="G108" s="318" t="e">
        <f>B108/Stoff!$G108</f>
        <v>#VALUE!</v>
      </c>
      <c r="H108" s="318" t="e">
        <f>C108/Stoff!$G108</f>
        <v>#VALUE!</v>
      </c>
      <c r="I108" s="318" t="e">
        <f>D108/Stoff!$G108</f>
        <v>#VALUE!</v>
      </c>
      <c r="J108" s="318" t="e">
        <f>E108/Stoff!$G108</f>
        <v>#VALUE!</v>
      </c>
      <c r="K108" s="318" t="e">
        <f>Mellomregninger!EW108</f>
        <v>#VALUE!</v>
      </c>
      <c r="L108" s="318" t="e">
        <f>F108/Stoff!$G108</f>
        <v>#VALUE!</v>
      </c>
      <c r="M108" s="318" t="str">
        <f>IF(Mellomregninger!B108="","",Mellomregninger!S108)</f>
        <v/>
      </c>
      <c r="N108" s="320" t="e">
        <f>Mellomregninger!DC108+Mellomregninger!DK108</f>
        <v>#VALUE!</v>
      </c>
      <c r="O108" s="318" t="e">
        <f>Mellomregninger!DO108+Mellomregninger!DW108</f>
        <v>#VALUE!</v>
      </c>
      <c r="P108" s="318" t="e">
        <f>Mellomregninger!EA108+Mellomregninger!EI108</f>
        <v>#VALUE!</v>
      </c>
      <c r="Q108" s="318" t="e">
        <f>Mellomregninger!EX108</f>
        <v>#VALUE!</v>
      </c>
      <c r="R108" s="318" t="e">
        <f>Mellomregninger!EM108+Mellomregninger!EP108</f>
        <v>#VALUE!</v>
      </c>
    </row>
    <row r="109" spans="1:18" x14ac:dyDescent="0.35">
      <c r="A109" s="301" t="str">
        <f>Stoff!A109</f>
        <v>nystoff 23</v>
      </c>
      <c r="B109" s="317" t="str">
        <f>IF(Mellomregninger!B109="","",IF(ISNUMBER('1f. Kons. resipient'!E109),'1f. Kons. resipient'!E109*1000,0))</f>
        <v/>
      </c>
      <c r="C109" s="317" t="e">
        <f>Mellomregninger!DJ109</f>
        <v>#VALUE!</v>
      </c>
      <c r="D109" s="317" t="e">
        <f>Mellomregninger!DV109</f>
        <v>#VALUE!</v>
      </c>
      <c r="E109" s="317" t="e">
        <f>Mellomregninger!EH109</f>
        <v>#VALUE!</v>
      </c>
      <c r="F109" s="317" t="e">
        <f>Mellomregninger!EV109</f>
        <v>#VALUE!</v>
      </c>
      <c r="G109" s="318" t="e">
        <f>B109/Stoff!$G109</f>
        <v>#VALUE!</v>
      </c>
      <c r="H109" s="318" t="e">
        <f>C109/Stoff!$G109</f>
        <v>#VALUE!</v>
      </c>
      <c r="I109" s="318" t="e">
        <f>D109/Stoff!$G109</f>
        <v>#VALUE!</v>
      </c>
      <c r="J109" s="318" t="e">
        <f>E109/Stoff!$G109</f>
        <v>#VALUE!</v>
      </c>
      <c r="K109" s="318" t="e">
        <f>Mellomregninger!EW109</f>
        <v>#VALUE!</v>
      </c>
      <c r="L109" s="318" t="e">
        <f>F109/Stoff!$G109</f>
        <v>#VALUE!</v>
      </c>
      <c r="M109" s="318" t="str">
        <f>IF(Mellomregninger!B109="","",Mellomregninger!S109)</f>
        <v/>
      </c>
      <c r="N109" s="320" t="e">
        <f>Mellomregninger!DC109+Mellomregninger!DK109</f>
        <v>#VALUE!</v>
      </c>
      <c r="O109" s="318" t="e">
        <f>Mellomregninger!DO109+Mellomregninger!DW109</f>
        <v>#VALUE!</v>
      </c>
      <c r="P109" s="318" t="e">
        <f>Mellomregninger!EA109+Mellomregninger!EI109</f>
        <v>#VALUE!</v>
      </c>
      <c r="Q109" s="318" t="e">
        <f>Mellomregninger!EX109</f>
        <v>#VALUE!</v>
      </c>
      <c r="R109" s="318" t="e">
        <f>Mellomregninger!EM109+Mellomregninger!EP109</f>
        <v>#VALUE!</v>
      </c>
    </row>
    <row r="110" spans="1:18" x14ac:dyDescent="0.35">
      <c r="A110" s="301" t="str">
        <f>Stoff!A110</f>
        <v>nystoff 24</v>
      </c>
      <c r="B110" s="317" t="str">
        <f>IF(Mellomregninger!B110="","",IF(ISNUMBER('1f. Kons. resipient'!E110),'1f. Kons. resipient'!E110*1000,0))</f>
        <v/>
      </c>
      <c r="C110" s="317" t="e">
        <f>Mellomregninger!DJ110</f>
        <v>#VALUE!</v>
      </c>
      <c r="D110" s="317" t="e">
        <f>Mellomregninger!DV110</f>
        <v>#VALUE!</v>
      </c>
      <c r="E110" s="317" t="e">
        <f>Mellomregninger!EH110</f>
        <v>#VALUE!</v>
      </c>
      <c r="F110" s="317" t="e">
        <f>Mellomregninger!EV110</f>
        <v>#VALUE!</v>
      </c>
      <c r="G110" s="318" t="e">
        <f>B110/Stoff!$G110</f>
        <v>#VALUE!</v>
      </c>
      <c r="H110" s="318" t="e">
        <f>C110/Stoff!$G110</f>
        <v>#VALUE!</v>
      </c>
      <c r="I110" s="318" t="e">
        <f>D110/Stoff!$G110</f>
        <v>#VALUE!</v>
      </c>
      <c r="J110" s="318" t="e">
        <f>E110/Stoff!$G110</f>
        <v>#VALUE!</v>
      </c>
      <c r="K110" s="318" t="e">
        <f>Mellomregninger!EW110</f>
        <v>#VALUE!</v>
      </c>
      <c r="L110" s="318" t="e">
        <f>F110/Stoff!$G110</f>
        <v>#VALUE!</v>
      </c>
      <c r="M110" s="318" t="str">
        <f>IF(Mellomregninger!B110="","",Mellomregninger!S110)</f>
        <v/>
      </c>
      <c r="N110" s="320" t="e">
        <f>Mellomregninger!DC110+Mellomregninger!DK110</f>
        <v>#VALUE!</v>
      </c>
      <c r="O110" s="318" t="e">
        <f>Mellomregninger!DO110+Mellomregninger!DW110</f>
        <v>#VALUE!</v>
      </c>
      <c r="P110" s="318" t="e">
        <f>Mellomregninger!EA110+Mellomregninger!EI110</f>
        <v>#VALUE!</v>
      </c>
      <c r="Q110" s="318" t="e">
        <f>Mellomregninger!EX110</f>
        <v>#VALUE!</v>
      </c>
      <c r="R110" s="318" t="e">
        <f>Mellomregninger!EM110+Mellomregninger!EP110</f>
        <v>#VALUE!</v>
      </c>
    </row>
    <row r="111" spans="1:18" x14ac:dyDescent="0.35">
      <c r="A111" s="301" t="str">
        <f>Stoff!A111</f>
        <v>nystoff 25</v>
      </c>
      <c r="B111" s="317" t="str">
        <f>IF(Mellomregninger!B111="","",IF(ISNUMBER('1f. Kons. resipient'!E111),'1f. Kons. resipient'!E111*1000,0))</f>
        <v/>
      </c>
      <c r="C111" s="317" t="e">
        <f>Mellomregninger!DJ111</f>
        <v>#VALUE!</v>
      </c>
      <c r="D111" s="317" t="e">
        <f>Mellomregninger!DV111</f>
        <v>#VALUE!</v>
      </c>
      <c r="E111" s="317" t="e">
        <f>Mellomregninger!EH111</f>
        <v>#VALUE!</v>
      </c>
      <c r="F111" s="317" t="e">
        <f>Mellomregninger!EV111</f>
        <v>#VALUE!</v>
      </c>
      <c r="G111" s="318" t="e">
        <f>B111/Stoff!$G111</f>
        <v>#VALUE!</v>
      </c>
      <c r="H111" s="318" t="e">
        <f>C111/Stoff!$G111</f>
        <v>#VALUE!</v>
      </c>
      <c r="I111" s="318" t="e">
        <f>D111/Stoff!$G111</f>
        <v>#VALUE!</v>
      </c>
      <c r="J111" s="318" t="e">
        <f>E111/Stoff!$G111</f>
        <v>#VALUE!</v>
      </c>
      <c r="K111" s="318" t="e">
        <f>Mellomregninger!EW111</f>
        <v>#VALUE!</v>
      </c>
      <c r="L111" s="318" t="e">
        <f>F111/Stoff!$G111</f>
        <v>#VALUE!</v>
      </c>
      <c r="M111" s="318" t="str">
        <f>IF(Mellomregninger!B111="","",Mellomregninger!S111)</f>
        <v/>
      </c>
      <c r="N111" s="320" t="e">
        <f>Mellomregninger!DC111+Mellomregninger!DK111</f>
        <v>#VALUE!</v>
      </c>
      <c r="O111" s="318" t="e">
        <f>Mellomregninger!DO111+Mellomregninger!DW111</f>
        <v>#VALUE!</v>
      </c>
      <c r="P111" s="318" t="e">
        <f>Mellomregninger!EA111+Mellomregninger!EI111</f>
        <v>#VALUE!</v>
      </c>
      <c r="Q111" s="318" t="e">
        <f>Mellomregninger!EX111</f>
        <v>#VALUE!</v>
      </c>
      <c r="R111" s="318" t="e">
        <f>Mellomregninger!EM111+Mellomregninger!EP111</f>
        <v>#VALUE!</v>
      </c>
    </row>
    <row r="112" spans="1:18" x14ac:dyDescent="0.35">
      <c r="A112" s="301" t="str">
        <f>Stoff!A112</f>
        <v>nystoff 26</v>
      </c>
      <c r="B112" s="317" t="str">
        <f>IF(Mellomregninger!B112="","",IF(ISNUMBER('1f. Kons. resipient'!E112),'1f. Kons. resipient'!E112*1000,0))</f>
        <v/>
      </c>
      <c r="C112" s="317" t="e">
        <f>Mellomregninger!DJ112</f>
        <v>#VALUE!</v>
      </c>
      <c r="D112" s="317" t="e">
        <f>Mellomregninger!DV112</f>
        <v>#VALUE!</v>
      </c>
      <c r="E112" s="317" t="e">
        <f>Mellomregninger!EH112</f>
        <v>#VALUE!</v>
      </c>
      <c r="F112" s="317" t="e">
        <f>Mellomregninger!EV112</f>
        <v>#VALUE!</v>
      </c>
      <c r="G112" s="318" t="e">
        <f>B112/Stoff!$G112</f>
        <v>#VALUE!</v>
      </c>
      <c r="H112" s="318" t="e">
        <f>C112/Stoff!$G112</f>
        <v>#VALUE!</v>
      </c>
      <c r="I112" s="318" t="e">
        <f>D112/Stoff!$G112</f>
        <v>#VALUE!</v>
      </c>
      <c r="J112" s="318" t="e">
        <f>E112/Stoff!$G112</f>
        <v>#VALUE!</v>
      </c>
      <c r="K112" s="318" t="e">
        <f>Mellomregninger!EW112</f>
        <v>#VALUE!</v>
      </c>
      <c r="L112" s="318" t="e">
        <f>F112/Stoff!$G112</f>
        <v>#VALUE!</v>
      </c>
      <c r="M112" s="318" t="str">
        <f>IF(Mellomregninger!B112="","",Mellomregninger!S112)</f>
        <v/>
      </c>
      <c r="N112" s="320" t="e">
        <f>Mellomregninger!DC112+Mellomregninger!DK112</f>
        <v>#VALUE!</v>
      </c>
      <c r="O112" s="318" t="e">
        <f>Mellomregninger!DO112+Mellomregninger!DW112</f>
        <v>#VALUE!</v>
      </c>
      <c r="P112" s="318" t="e">
        <f>Mellomregninger!EA112+Mellomregninger!EI112</f>
        <v>#VALUE!</v>
      </c>
      <c r="Q112" s="318" t="e">
        <f>Mellomregninger!EX112</f>
        <v>#VALUE!</v>
      </c>
      <c r="R112" s="318" t="e">
        <f>Mellomregninger!EM112+Mellomregninger!EP112</f>
        <v>#VALUE!</v>
      </c>
    </row>
    <row r="113" spans="1:18" x14ac:dyDescent="0.35">
      <c r="A113" s="301" t="str">
        <f>Stoff!A113</f>
        <v>nystoff 27</v>
      </c>
      <c r="B113" s="317" t="str">
        <f>IF(Mellomregninger!B113="","",IF(ISNUMBER('1f. Kons. resipient'!E113),'1f. Kons. resipient'!E113*1000,0))</f>
        <v/>
      </c>
      <c r="C113" s="317" t="e">
        <f>Mellomregninger!DJ113</f>
        <v>#VALUE!</v>
      </c>
      <c r="D113" s="317" t="e">
        <f>Mellomregninger!DV113</f>
        <v>#VALUE!</v>
      </c>
      <c r="E113" s="317" t="e">
        <f>Mellomregninger!EH113</f>
        <v>#VALUE!</v>
      </c>
      <c r="F113" s="317" t="e">
        <f>Mellomregninger!EV113</f>
        <v>#VALUE!</v>
      </c>
      <c r="G113" s="318" t="e">
        <f>B113/Stoff!$G113</f>
        <v>#VALUE!</v>
      </c>
      <c r="H113" s="318" t="e">
        <f>C113/Stoff!$G113</f>
        <v>#VALUE!</v>
      </c>
      <c r="I113" s="318" t="e">
        <f>D113/Stoff!$G113</f>
        <v>#VALUE!</v>
      </c>
      <c r="J113" s="318" t="e">
        <f>E113/Stoff!$G113</f>
        <v>#VALUE!</v>
      </c>
      <c r="K113" s="318" t="e">
        <f>Mellomregninger!EW113</f>
        <v>#VALUE!</v>
      </c>
      <c r="L113" s="318" t="e">
        <f>F113/Stoff!$G113</f>
        <v>#VALUE!</v>
      </c>
      <c r="M113" s="318" t="str">
        <f>IF(Mellomregninger!B113="","",Mellomregninger!S113)</f>
        <v/>
      </c>
      <c r="N113" s="320" t="e">
        <f>Mellomregninger!DC113+Mellomregninger!DK113</f>
        <v>#VALUE!</v>
      </c>
      <c r="O113" s="318" t="e">
        <f>Mellomregninger!DO113+Mellomregninger!DW113</f>
        <v>#VALUE!</v>
      </c>
      <c r="P113" s="318" t="e">
        <f>Mellomregninger!EA113+Mellomregninger!EI113</f>
        <v>#VALUE!</v>
      </c>
      <c r="Q113" s="318" t="e">
        <f>Mellomregninger!EX113</f>
        <v>#VALUE!</v>
      </c>
      <c r="R113" s="318" t="e">
        <f>Mellomregninger!EM113+Mellomregninger!EP113</f>
        <v>#VALUE!</v>
      </c>
    </row>
    <row r="114" spans="1:18" x14ac:dyDescent="0.35">
      <c r="A114" s="301" t="str">
        <f>Stoff!A114</f>
        <v>nystoff 28</v>
      </c>
      <c r="B114" s="317" t="str">
        <f>IF(Mellomregninger!B114="","",IF(ISNUMBER('1f. Kons. resipient'!E114),'1f. Kons. resipient'!E114*1000,0))</f>
        <v/>
      </c>
      <c r="C114" s="317" t="e">
        <f>Mellomregninger!DJ114</f>
        <v>#VALUE!</v>
      </c>
      <c r="D114" s="317" t="e">
        <f>Mellomregninger!DV114</f>
        <v>#VALUE!</v>
      </c>
      <c r="E114" s="317" t="e">
        <f>Mellomregninger!EH114</f>
        <v>#VALUE!</v>
      </c>
      <c r="F114" s="317" t="e">
        <f>Mellomregninger!EV114</f>
        <v>#VALUE!</v>
      </c>
      <c r="G114" s="318" t="e">
        <f>B114/Stoff!$G114</f>
        <v>#VALUE!</v>
      </c>
      <c r="H114" s="318" t="e">
        <f>C114/Stoff!$G114</f>
        <v>#VALUE!</v>
      </c>
      <c r="I114" s="318" t="e">
        <f>D114/Stoff!$G114</f>
        <v>#VALUE!</v>
      </c>
      <c r="J114" s="318" t="e">
        <f>E114/Stoff!$G114</f>
        <v>#VALUE!</v>
      </c>
      <c r="K114" s="318" t="e">
        <f>Mellomregninger!EW114</f>
        <v>#VALUE!</v>
      </c>
      <c r="L114" s="318" t="e">
        <f>F114/Stoff!$G114</f>
        <v>#VALUE!</v>
      </c>
      <c r="M114" s="318" t="str">
        <f>IF(Mellomregninger!B114="","",Mellomregninger!S114)</f>
        <v/>
      </c>
      <c r="N114" s="320" t="e">
        <f>Mellomregninger!DC114+Mellomregninger!DK114</f>
        <v>#VALUE!</v>
      </c>
      <c r="O114" s="318" t="e">
        <f>Mellomregninger!DO114+Mellomregninger!DW114</f>
        <v>#VALUE!</v>
      </c>
      <c r="P114" s="318" t="e">
        <f>Mellomregninger!EA114+Mellomregninger!EI114</f>
        <v>#VALUE!</v>
      </c>
      <c r="Q114" s="318" t="e">
        <f>Mellomregninger!EX114</f>
        <v>#VALUE!</v>
      </c>
      <c r="R114" s="318" t="e">
        <f>Mellomregninger!EM114+Mellomregninger!EP114</f>
        <v>#VALUE!</v>
      </c>
    </row>
  </sheetData>
  <sheetProtection sheet="1" objects="1" scenarios="1" selectLockedCells="1"/>
  <conditionalFormatting sqref="A87:A114">
    <cfRule type="cellIs" dxfId="29" priority="8" stopIfTrue="1" operator="equal">
      <formula>""</formula>
    </cfRule>
  </conditionalFormatting>
  <conditionalFormatting sqref="B1:K1 M1:M3 M115:M1048576 B3:K3 B115:K1048576 A1:A3 B4:R114 A87:A1048576">
    <cfRule type="containsErrors" dxfId="28" priority="6">
      <formula>ISERROR(A1)</formula>
    </cfRule>
  </conditionalFormatting>
  <conditionalFormatting sqref="L1 N1:R3 L3 L115:L1048576 N115:R1048576">
    <cfRule type="containsErrors" dxfId="27" priority="5">
      <formula>ISERROR(L1)</formula>
    </cfRule>
  </conditionalFormatting>
  <conditionalFormatting sqref="B2:K2">
    <cfRule type="containsErrors" dxfId="26" priority="4">
      <formula>ISERROR(B2)</formula>
    </cfRule>
  </conditionalFormatting>
  <conditionalFormatting sqref="L2">
    <cfRule type="containsErrors" dxfId="25" priority="3">
      <formula>ISERROR(L2)</formula>
    </cfRule>
  </conditionalFormatting>
  <conditionalFormatting sqref="A4:A86">
    <cfRule type="containsErrors" dxfId="24" priority="1">
      <formula>ISERROR(A4)</formula>
    </cfRule>
  </conditionalFormatting>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X118"/>
  <sheetViews>
    <sheetView zoomScale="80" zoomScaleNormal="80" workbookViewId="0">
      <pane xSplit="1" ySplit="3" topLeftCell="EG4" activePane="bottomRight" state="frozen"/>
      <selection pane="topRight" activeCell="B1" sqref="B1"/>
      <selection pane="bottomLeft" activeCell="A4" sqref="A4"/>
      <selection pane="bottomRight" sqref="A1:EX114"/>
    </sheetView>
  </sheetViews>
  <sheetFormatPr baseColWidth="10" defaultColWidth="11.453125" defaultRowHeight="14.5" x14ac:dyDescent="0.35"/>
  <cols>
    <col min="1" max="1" width="20" style="302" bestFit="1" customWidth="1"/>
    <col min="2" max="8" width="11.453125" style="262"/>
    <col min="9" max="9" width="22.1796875" style="262" customWidth="1"/>
    <col min="10" max="10" width="11.453125" style="303" customWidth="1"/>
    <col min="11" max="11" width="14.453125" style="303" customWidth="1"/>
    <col min="12" max="12" width="16" style="7" customWidth="1"/>
    <col min="13" max="14" width="13.81640625" style="288" customWidth="1"/>
    <col min="15" max="17" width="11.453125" style="303"/>
    <col min="18" max="18" width="25" style="304" customWidth="1"/>
    <col min="19" max="22" width="11.453125" style="303"/>
    <col min="23" max="81" width="11.453125" style="262"/>
    <col min="82" max="82" width="11.453125" style="294"/>
    <col min="83" max="151" width="11.453125" style="262"/>
    <col min="152" max="152" width="13" style="262" bestFit="1" customWidth="1"/>
    <col min="153" max="16384" width="11.453125" style="262"/>
  </cols>
  <sheetData>
    <row r="1" spans="1:154" x14ac:dyDescent="0.35">
      <c r="A1" s="257" t="s">
        <v>211</v>
      </c>
      <c r="B1" s="258" t="s">
        <v>553</v>
      </c>
      <c r="C1" s="258" t="s">
        <v>553</v>
      </c>
      <c r="D1" s="258" t="s">
        <v>553</v>
      </c>
      <c r="E1" s="258" t="s">
        <v>553</v>
      </c>
      <c r="F1" s="258" t="s">
        <v>553</v>
      </c>
      <c r="G1" s="258" t="s">
        <v>553</v>
      </c>
      <c r="H1" s="258" t="s">
        <v>553</v>
      </c>
      <c r="I1" s="258" t="s">
        <v>553</v>
      </c>
      <c r="J1" s="259" t="s">
        <v>554</v>
      </c>
      <c r="K1" s="259" t="s">
        <v>554</v>
      </c>
      <c r="L1" s="259" t="s">
        <v>554</v>
      </c>
      <c r="M1" s="259" t="s">
        <v>554</v>
      </c>
      <c r="N1" s="259" t="s">
        <v>554</v>
      </c>
      <c r="O1" s="259" t="s">
        <v>554</v>
      </c>
      <c r="P1" s="259" t="s">
        <v>554</v>
      </c>
      <c r="Q1" s="259"/>
      <c r="R1" s="260" t="s">
        <v>8</v>
      </c>
      <c r="S1" s="260" t="s">
        <v>8</v>
      </c>
      <c r="T1" s="260" t="s">
        <v>8</v>
      </c>
      <c r="U1" s="260" t="s">
        <v>8</v>
      </c>
      <c r="V1" s="259" t="s">
        <v>561</v>
      </c>
      <c r="W1" s="259" t="s">
        <v>561</v>
      </c>
      <c r="X1" s="259" t="s">
        <v>561</v>
      </c>
      <c r="Y1" s="259" t="s">
        <v>561</v>
      </c>
      <c r="Z1" s="259" t="s">
        <v>561</v>
      </c>
      <c r="AA1" s="259" t="s">
        <v>561</v>
      </c>
      <c r="AB1" s="259" t="s">
        <v>561</v>
      </c>
      <c r="AC1" s="259" t="s">
        <v>561</v>
      </c>
      <c r="AD1" s="259" t="s">
        <v>561</v>
      </c>
      <c r="AE1" s="259" t="s">
        <v>561</v>
      </c>
      <c r="AF1" s="259" t="s">
        <v>561</v>
      </c>
      <c r="AG1" s="259" t="s">
        <v>561</v>
      </c>
      <c r="AH1" s="259" t="s">
        <v>561</v>
      </c>
      <c r="AI1" s="259" t="s">
        <v>561</v>
      </c>
      <c r="AJ1" s="259" t="s">
        <v>561</v>
      </c>
      <c r="AK1" s="259" t="s">
        <v>561</v>
      </c>
      <c r="AL1" s="259" t="s">
        <v>561</v>
      </c>
      <c r="AM1" s="259" t="s">
        <v>561</v>
      </c>
      <c r="AN1" s="259" t="s">
        <v>561</v>
      </c>
      <c r="AO1" s="259" t="s">
        <v>561</v>
      </c>
      <c r="AP1" s="259" t="s">
        <v>561</v>
      </c>
      <c r="AQ1" s="259" t="s">
        <v>561</v>
      </c>
      <c r="AR1" s="259" t="s">
        <v>561</v>
      </c>
      <c r="AS1" s="259" t="s">
        <v>561</v>
      </c>
      <c r="AT1" s="259" t="s">
        <v>561</v>
      </c>
      <c r="AU1" s="259" t="s">
        <v>561</v>
      </c>
      <c r="AV1" s="259" t="s">
        <v>561</v>
      </c>
      <c r="AW1" s="259" t="s">
        <v>561</v>
      </c>
      <c r="AX1" s="259" t="s">
        <v>561</v>
      </c>
      <c r="AY1" s="259" t="s">
        <v>561</v>
      </c>
      <c r="AZ1" s="259" t="s">
        <v>561</v>
      </c>
      <c r="BA1" s="259" t="s">
        <v>561</v>
      </c>
      <c r="BB1" s="259" t="s">
        <v>561</v>
      </c>
      <c r="BC1" s="259" t="s">
        <v>561</v>
      </c>
      <c r="BD1" s="259" t="s">
        <v>561</v>
      </c>
      <c r="BE1" s="259" t="s">
        <v>561</v>
      </c>
      <c r="BF1" s="259" t="s">
        <v>561</v>
      </c>
      <c r="BG1" s="259" t="s">
        <v>561</v>
      </c>
      <c r="BH1" s="259" t="s">
        <v>561</v>
      </c>
      <c r="BI1" s="259" t="s">
        <v>561</v>
      </c>
      <c r="BJ1" s="259" t="s">
        <v>561</v>
      </c>
      <c r="BK1" s="259" t="s">
        <v>561</v>
      </c>
      <c r="BL1" s="259" t="s">
        <v>561</v>
      </c>
      <c r="BM1" s="259" t="s">
        <v>561</v>
      </c>
      <c r="BN1" s="259" t="s">
        <v>561</v>
      </c>
      <c r="BO1" s="259" t="s">
        <v>561</v>
      </c>
      <c r="BP1" s="259" t="s">
        <v>561</v>
      </c>
      <c r="BQ1" s="259" t="s">
        <v>561</v>
      </c>
      <c r="BR1" s="259" t="s">
        <v>561</v>
      </c>
      <c r="BS1" s="259" t="s">
        <v>561</v>
      </c>
      <c r="BT1" s="259" t="s">
        <v>561</v>
      </c>
      <c r="BU1" s="259" t="s">
        <v>561</v>
      </c>
      <c r="BV1" s="259" t="s">
        <v>561</v>
      </c>
      <c r="BW1" s="259" t="s">
        <v>561</v>
      </c>
      <c r="BX1" s="259" t="s">
        <v>561</v>
      </c>
      <c r="BY1" s="259" t="s">
        <v>561</v>
      </c>
      <c r="BZ1" s="259" t="s">
        <v>561</v>
      </c>
      <c r="CA1" s="259" t="s">
        <v>561</v>
      </c>
      <c r="CB1" s="259" t="s">
        <v>561</v>
      </c>
      <c r="CC1" s="259" t="s">
        <v>561</v>
      </c>
      <c r="CD1" s="261" t="s">
        <v>562</v>
      </c>
      <c r="CE1" s="260" t="s">
        <v>562</v>
      </c>
      <c r="CF1" s="260" t="s">
        <v>562</v>
      </c>
      <c r="CG1" s="260" t="s">
        <v>562</v>
      </c>
      <c r="CH1" s="260" t="s">
        <v>562</v>
      </c>
      <c r="CI1" s="260" t="s">
        <v>562</v>
      </c>
      <c r="CJ1" s="260" t="s">
        <v>562</v>
      </c>
      <c r="CK1" s="260" t="s">
        <v>562</v>
      </c>
      <c r="CL1" s="260" t="s">
        <v>562</v>
      </c>
      <c r="CM1" s="260" t="s">
        <v>562</v>
      </c>
      <c r="CN1" s="260"/>
      <c r="CO1" s="260"/>
      <c r="CP1" s="260" t="s">
        <v>562</v>
      </c>
      <c r="CQ1" s="260" t="s">
        <v>562</v>
      </c>
      <c r="CR1" s="260" t="s">
        <v>562</v>
      </c>
      <c r="CS1" s="260" t="s">
        <v>562</v>
      </c>
      <c r="CT1" s="260" t="s">
        <v>562</v>
      </c>
      <c r="CU1" s="260" t="s">
        <v>562</v>
      </c>
      <c r="CV1" s="260" t="s">
        <v>562</v>
      </c>
      <c r="CW1" s="260" t="s">
        <v>562</v>
      </c>
      <c r="CX1" s="260" t="s">
        <v>562</v>
      </c>
      <c r="CY1" s="260" t="s">
        <v>562</v>
      </c>
      <c r="CZ1" s="260"/>
      <c r="DA1" s="260"/>
      <c r="DB1" s="260" t="s">
        <v>562</v>
      </c>
      <c r="DC1" s="260" t="s">
        <v>562</v>
      </c>
      <c r="DD1" s="260" t="s">
        <v>562</v>
      </c>
      <c r="DE1" s="260" t="s">
        <v>562</v>
      </c>
      <c r="DF1" s="260" t="s">
        <v>562</v>
      </c>
      <c r="DG1" s="260" t="s">
        <v>562</v>
      </c>
      <c r="DH1" s="260" t="s">
        <v>562</v>
      </c>
      <c r="DI1" s="260" t="s">
        <v>562</v>
      </c>
      <c r="DJ1" s="260" t="s">
        <v>562</v>
      </c>
      <c r="DK1" s="260" t="s">
        <v>562</v>
      </c>
      <c r="DL1" s="260"/>
      <c r="DM1" s="260"/>
      <c r="DN1" s="260" t="s">
        <v>562</v>
      </c>
      <c r="DO1" s="260" t="s">
        <v>562</v>
      </c>
      <c r="DP1" s="260" t="s">
        <v>562</v>
      </c>
      <c r="DQ1" s="260" t="s">
        <v>562</v>
      </c>
      <c r="DR1" s="260" t="s">
        <v>562</v>
      </c>
      <c r="DS1" s="260" t="s">
        <v>562</v>
      </c>
      <c r="DT1" s="260" t="s">
        <v>562</v>
      </c>
      <c r="DU1" s="260" t="s">
        <v>562</v>
      </c>
      <c r="DV1" s="260" t="s">
        <v>562</v>
      </c>
      <c r="DW1" s="260" t="s">
        <v>562</v>
      </c>
      <c r="DX1" s="260"/>
      <c r="DY1" s="260"/>
      <c r="DZ1" s="260" t="s">
        <v>562</v>
      </c>
      <c r="EA1" s="260" t="s">
        <v>562</v>
      </c>
      <c r="EB1" s="260" t="s">
        <v>562</v>
      </c>
      <c r="EC1" s="260" t="s">
        <v>562</v>
      </c>
      <c r="ED1" s="260" t="s">
        <v>562</v>
      </c>
      <c r="EE1" s="260" t="s">
        <v>562</v>
      </c>
      <c r="EF1" s="260" t="s">
        <v>562</v>
      </c>
      <c r="EG1" s="260" t="s">
        <v>562</v>
      </c>
      <c r="EH1" s="260" t="s">
        <v>562</v>
      </c>
      <c r="EI1" s="260" t="s">
        <v>562</v>
      </c>
      <c r="EJ1" s="260"/>
      <c r="EK1" s="260"/>
      <c r="EL1" s="260" t="s">
        <v>562</v>
      </c>
      <c r="EM1" s="260" t="s">
        <v>562</v>
      </c>
      <c r="EN1" s="260" t="s">
        <v>562</v>
      </c>
      <c r="EO1" s="260" t="s">
        <v>562</v>
      </c>
      <c r="EP1" s="260" t="s">
        <v>562</v>
      </c>
      <c r="EQ1" s="260" t="s">
        <v>562</v>
      </c>
      <c r="ER1" s="260" t="s">
        <v>562</v>
      </c>
      <c r="ES1" s="260" t="s">
        <v>562</v>
      </c>
      <c r="ET1" s="260" t="s">
        <v>562</v>
      </c>
      <c r="EU1" s="260" t="s">
        <v>562</v>
      </c>
      <c r="EV1" s="260" t="s">
        <v>562</v>
      </c>
      <c r="EW1" s="260" t="s">
        <v>562</v>
      </c>
      <c r="EX1" s="260" t="s">
        <v>562</v>
      </c>
    </row>
    <row r="2" spans="1:154" s="266" customFormat="1" ht="76.5" x14ac:dyDescent="0.4">
      <c r="A2" s="257"/>
      <c r="B2" s="162" t="s">
        <v>49</v>
      </c>
      <c r="C2" s="162" t="s">
        <v>548</v>
      </c>
      <c r="D2" s="162" t="s">
        <v>50</v>
      </c>
      <c r="E2" s="162" t="s">
        <v>48</v>
      </c>
      <c r="F2" s="162" t="s">
        <v>58</v>
      </c>
      <c r="G2" s="162" t="s">
        <v>51</v>
      </c>
      <c r="H2" s="162" t="s">
        <v>52</v>
      </c>
      <c r="I2" s="162" t="s">
        <v>83</v>
      </c>
      <c r="J2" s="163" t="s">
        <v>547</v>
      </c>
      <c r="K2" s="162" t="s">
        <v>549</v>
      </c>
      <c r="L2" s="163" t="s">
        <v>49</v>
      </c>
      <c r="M2" s="162" t="s">
        <v>48</v>
      </c>
      <c r="N2" s="162" t="s">
        <v>107</v>
      </c>
      <c r="O2" s="162" t="s">
        <v>81</v>
      </c>
      <c r="P2" s="162" t="s">
        <v>82</v>
      </c>
      <c r="Q2" s="162" t="s">
        <v>85</v>
      </c>
      <c r="R2" s="162" t="s">
        <v>20</v>
      </c>
      <c r="S2" s="162" t="s">
        <v>21</v>
      </c>
      <c r="T2" s="263" t="s">
        <v>559</v>
      </c>
      <c r="U2" s="263" t="s">
        <v>560</v>
      </c>
      <c r="V2" s="264" t="s">
        <v>556</v>
      </c>
      <c r="W2" s="263"/>
      <c r="X2" s="263"/>
      <c r="Y2" s="263"/>
      <c r="Z2" s="263"/>
      <c r="AA2" s="263"/>
      <c r="AB2" s="263"/>
      <c r="AC2" s="263"/>
      <c r="AD2" s="263"/>
      <c r="AE2" s="263"/>
      <c r="AF2" s="263"/>
      <c r="AG2" s="263"/>
      <c r="AH2" s="264" t="s">
        <v>557</v>
      </c>
      <c r="AI2" s="263"/>
      <c r="AJ2" s="263"/>
      <c r="AK2" s="263"/>
      <c r="AL2" s="263"/>
      <c r="AM2" s="263"/>
      <c r="AN2" s="263"/>
      <c r="AO2" s="263"/>
      <c r="AP2" s="263"/>
      <c r="AQ2" s="263"/>
      <c r="AR2" s="263"/>
      <c r="AS2" s="263"/>
      <c r="AT2" s="264" t="s">
        <v>87</v>
      </c>
      <c r="AU2" s="263"/>
      <c r="AV2" s="263"/>
      <c r="AW2" s="263"/>
      <c r="AX2" s="263"/>
      <c r="AY2" s="263"/>
      <c r="AZ2" s="263"/>
      <c r="BA2" s="263"/>
      <c r="BB2" s="263"/>
      <c r="BC2" s="263"/>
      <c r="BD2" s="263"/>
      <c r="BE2" s="263"/>
      <c r="BF2" s="264" t="s">
        <v>89</v>
      </c>
      <c r="BG2" s="263"/>
      <c r="BH2" s="263"/>
      <c r="BI2" s="263"/>
      <c r="BJ2" s="263"/>
      <c r="BK2" s="263"/>
      <c r="BL2" s="263"/>
      <c r="BM2" s="263"/>
      <c r="BN2" s="263"/>
      <c r="BO2" s="263"/>
      <c r="BP2" s="263"/>
      <c r="BQ2" s="263"/>
      <c r="BR2" s="264" t="s">
        <v>79</v>
      </c>
      <c r="BS2" s="263">
        <v>1</v>
      </c>
      <c r="BT2" s="263">
        <v>2</v>
      </c>
      <c r="BU2" s="263">
        <v>3</v>
      </c>
      <c r="BV2" s="263">
        <v>4</v>
      </c>
      <c r="BW2" s="263">
        <v>5</v>
      </c>
      <c r="BX2" s="263">
        <v>6</v>
      </c>
      <c r="BY2" s="263">
        <v>7</v>
      </c>
      <c r="BZ2" s="263">
        <v>8</v>
      </c>
      <c r="CA2" s="263">
        <v>9</v>
      </c>
      <c r="CB2" s="263">
        <v>10</v>
      </c>
      <c r="CC2" s="263">
        <v>11</v>
      </c>
      <c r="CD2" s="265" t="s">
        <v>556</v>
      </c>
      <c r="CE2" s="263">
        <v>1</v>
      </c>
      <c r="CF2" s="263">
        <v>2</v>
      </c>
      <c r="CG2" s="263">
        <v>3</v>
      </c>
      <c r="CH2" s="263">
        <v>4</v>
      </c>
      <c r="CI2" s="263">
        <v>5</v>
      </c>
      <c r="CJ2" s="263">
        <v>6</v>
      </c>
      <c r="CK2" s="263">
        <v>7</v>
      </c>
      <c r="CL2" s="263">
        <v>8</v>
      </c>
      <c r="CM2" s="263">
        <v>9</v>
      </c>
      <c r="CN2" s="263">
        <v>10</v>
      </c>
      <c r="CO2" s="263">
        <v>11</v>
      </c>
      <c r="CP2" s="264" t="s">
        <v>563</v>
      </c>
      <c r="CQ2" s="263">
        <v>1</v>
      </c>
      <c r="CR2" s="263">
        <v>2</v>
      </c>
      <c r="CS2" s="263">
        <v>3</v>
      </c>
      <c r="CT2" s="263">
        <v>4</v>
      </c>
      <c r="CU2" s="263">
        <v>5</v>
      </c>
      <c r="CV2" s="263">
        <v>6</v>
      </c>
      <c r="CW2" s="263">
        <v>7</v>
      </c>
      <c r="CX2" s="263">
        <v>8</v>
      </c>
      <c r="CY2" s="263">
        <v>9</v>
      </c>
      <c r="CZ2" s="263">
        <v>10</v>
      </c>
      <c r="DA2" s="263">
        <v>11</v>
      </c>
      <c r="DB2" s="264" t="s">
        <v>87</v>
      </c>
      <c r="DC2" s="263">
        <v>1</v>
      </c>
      <c r="DD2" s="263">
        <v>2</v>
      </c>
      <c r="DE2" s="263">
        <v>3</v>
      </c>
      <c r="DF2" s="263">
        <v>4</v>
      </c>
      <c r="DG2" s="263">
        <v>5</v>
      </c>
      <c r="DH2" s="263">
        <v>6</v>
      </c>
      <c r="DI2" s="263">
        <v>7</v>
      </c>
      <c r="DJ2" s="263">
        <v>8</v>
      </c>
      <c r="DK2" s="263">
        <v>9</v>
      </c>
      <c r="DL2" s="263">
        <v>10</v>
      </c>
      <c r="DM2" s="263">
        <v>11</v>
      </c>
      <c r="DN2" s="264" t="s">
        <v>89</v>
      </c>
      <c r="DO2" s="263">
        <v>1</v>
      </c>
      <c r="DP2" s="263">
        <v>2</v>
      </c>
      <c r="DQ2" s="263">
        <v>3</v>
      </c>
      <c r="DR2" s="263">
        <v>4</v>
      </c>
      <c r="DS2" s="263">
        <v>5</v>
      </c>
      <c r="DT2" s="263">
        <v>6</v>
      </c>
      <c r="DU2" s="263">
        <v>7</v>
      </c>
      <c r="DV2" s="263">
        <v>8</v>
      </c>
      <c r="DW2" s="263">
        <v>9</v>
      </c>
      <c r="DX2" s="263">
        <v>10</v>
      </c>
      <c r="DY2" s="263">
        <v>11</v>
      </c>
      <c r="DZ2" s="264" t="s">
        <v>79</v>
      </c>
      <c r="EA2" s="263">
        <v>1</v>
      </c>
      <c r="EB2" s="263">
        <v>2</v>
      </c>
      <c r="EC2" s="263">
        <v>3</v>
      </c>
      <c r="ED2" s="263">
        <v>4</v>
      </c>
      <c r="EE2" s="263">
        <v>5</v>
      </c>
      <c r="EF2" s="263">
        <v>6</v>
      </c>
      <c r="EG2" s="263">
        <v>7</v>
      </c>
      <c r="EH2" s="263">
        <v>8</v>
      </c>
      <c r="EI2" s="263">
        <v>9</v>
      </c>
      <c r="EJ2" s="263">
        <v>10</v>
      </c>
      <c r="EK2" s="263">
        <v>11</v>
      </c>
      <c r="EL2" s="264" t="s">
        <v>101</v>
      </c>
      <c r="EM2" s="263"/>
      <c r="EN2" s="263"/>
      <c r="EO2" s="263"/>
      <c r="EP2" s="263"/>
      <c r="EQ2" s="263"/>
      <c r="ER2" s="263"/>
      <c r="ES2" s="263"/>
      <c r="ET2" s="263"/>
      <c r="EU2" s="263"/>
      <c r="EV2" s="264" t="s">
        <v>564</v>
      </c>
      <c r="EW2" s="264" t="s">
        <v>565</v>
      </c>
      <c r="EX2" s="264" t="s">
        <v>595</v>
      </c>
    </row>
    <row r="3" spans="1:154" s="266" customFormat="1" ht="48" customHeight="1" x14ac:dyDescent="0.45">
      <c r="A3" s="234"/>
      <c r="E3" s="223" t="s">
        <v>9</v>
      </c>
      <c r="J3" s="267"/>
      <c r="K3" s="267"/>
      <c r="L3" s="267"/>
      <c r="M3" s="84"/>
      <c r="N3" s="84"/>
      <c r="O3" s="85"/>
      <c r="P3" s="85"/>
      <c r="Q3" s="85"/>
      <c r="R3" s="86"/>
      <c r="S3" s="268"/>
      <c r="T3" s="268"/>
      <c r="U3" s="268"/>
      <c r="V3" s="269"/>
      <c r="W3" s="270" t="s">
        <v>555</v>
      </c>
      <c r="X3" s="270" t="s">
        <v>36</v>
      </c>
      <c r="Y3" s="271" t="s">
        <v>37</v>
      </c>
      <c r="Z3" s="270" t="s">
        <v>38</v>
      </c>
      <c r="AA3" s="272" t="s">
        <v>558</v>
      </c>
      <c r="AB3" s="272" t="s">
        <v>70</v>
      </c>
      <c r="AC3" s="270" t="s">
        <v>54</v>
      </c>
      <c r="AD3" s="273" t="s">
        <v>55</v>
      </c>
      <c r="AE3" s="273" t="s">
        <v>56</v>
      </c>
      <c r="AF3" s="273" t="s">
        <v>632</v>
      </c>
      <c r="AG3" s="273" t="s">
        <v>631</v>
      </c>
      <c r="AH3" s="274"/>
      <c r="AI3" s="270" t="s">
        <v>555</v>
      </c>
      <c r="AJ3" s="270" t="s">
        <v>36</v>
      </c>
      <c r="AK3" s="271" t="s">
        <v>37</v>
      </c>
      <c r="AL3" s="270" t="s">
        <v>38</v>
      </c>
      <c r="AM3" s="272" t="s">
        <v>558</v>
      </c>
      <c r="AN3" s="272" t="s">
        <v>70</v>
      </c>
      <c r="AO3" s="270" t="s">
        <v>54</v>
      </c>
      <c r="AP3" s="273" t="s">
        <v>55</v>
      </c>
      <c r="AQ3" s="273" t="s">
        <v>56</v>
      </c>
      <c r="AR3" s="273" t="s">
        <v>632</v>
      </c>
      <c r="AS3" s="273" t="s">
        <v>631</v>
      </c>
      <c r="AT3" s="274">
        <v>5</v>
      </c>
      <c r="AU3" s="270" t="s">
        <v>555</v>
      </c>
      <c r="AV3" s="270" t="s">
        <v>36</v>
      </c>
      <c r="AW3" s="271" t="s">
        <v>37</v>
      </c>
      <c r="AX3" s="270" t="s">
        <v>38</v>
      </c>
      <c r="AY3" s="272" t="s">
        <v>558</v>
      </c>
      <c r="AZ3" s="272" t="s">
        <v>70</v>
      </c>
      <c r="BA3" s="270" t="s">
        <v>54</v>
      </c>
      <c r="BB3" s="273" t="s">
        <v>55</v>
      </c>
      <c r="BC3" s="273" t="s">
        <v>56</v>
      </c>
      <c r="BD3" s="273" t="s">
        <v>632</v>
      </c>
      <c r="BE3" s="273" t="s">
        <v>631</v>
      </c>
      <c r="BF3" s="274">
        <v>20</v>
      </c>
      <c r="BG3" s="270" t="s">
        <v>555</v>
      </c>
      <c r="BH3" s="270" t="s">
        <v>36</v>
      </c>
      <c r="BI3" s="271" t="s">
        <v>37</v>
      </c>
      <c r="BJ3" s="270" t="s">
        <v>38</v>
      </c>
      <c r="BK3" s="272" t="s">
        <v>558</v>
      </c>
      <c r="BL3" s="272" t="s">
        <v>70</v>
      </c>
      <c r="BM3" s="270" t="s">
        <v>54</v>
      </c>
      <c r="BN3" s="273" t="s">
        <v>55</v>
      </c>
      <c r="BO3" s="273" t="s">
        <v>56</v>
      </c>
      <c r="BP3" s="273" t="s">
        <v>632</v>
      </c>
      <c r="BQ3" s="273" t="s">
        <v>631</v>
      </c>
      <c r="BR3" s="274">
        <v>100</v>
      </c>
      <c r="BS3" s="270" t="s">
        <v>555</v>
      </c>
      <c r="BT3" s="270" t="s">
        <v>36</v>
      </c>
      <c r="BU3" s="271" t="s">
        <v>37</v>
      </c>
      <c r="BV3" s="270" t="s">
        <v>38</v>
      </c>
      <c r="BW3" s="272" t="s">
        <v>558</v>
      </c>
      <c r="BX3" s="272" t="s">
        <v>70</v>
      </c>
      <c r="BY3" s="270" t="s">
        <v>54</v>
      </c>
      <c r="BZ3" s="273" t="s">
        <v>55</v>
      </c>
      <c r="CA3" s="273" t="s">
        <v>56</v>
      </c>
      <c r="CB3" s="273" t="s">
        <v>632</v>
      </c>
      <c r="CC3" s="273" t="s">
        <v>631</v>
      </c>
      <c r="CD3" s="275"/>
      <c r="CE3" s="272" t="s">
        <v>109</v>
      </c>
      <c r="CF3" s="276" t="s">
        <v>632</v>
      </c>
      <c r="CG3" s="277" t="s">
        <v>633</v>
      </c>
      <c r="CH3" s="276" t="s">
        <v>631</v>
      </c>
      <c r="CI3" s="277" t="s">
        <v>634</v>
      </c>
      <c r="CJ3" s="278" t="s">
        <v>635</v>
      </c>
      <c r="CK3" s="266" t="s">
        <v>73</v>
      </c>
      <c r="CL3" s="279" t="s">
        <v>42</v>
      </c>
      <c r="CM3" s="262" t="s">
        <v>72</v>
      </c>
      <c r="CN3" s="279"/>
      <c r="CO3" s="279"/>
      <c r="CQ3" s="272" t="s">
        <v>109</v>
      </c>
      <c r="CR3" s="276" t="s">
        <v>632</v>
      </c>
      <c r="CS3" s="277" t="s">
        <v>633</v>
      </c>
      <c r="CT3" s="276" t="s">
        <v>631</v>
      </c>
      <c r="CU3" s="277" t="s">
        <v>634</v>
      </c>
      <c r="CV3" s="278" t="s">
        <v>106</v>
      </c>
      <c r="CW3" s="278" t="s">
        <v>73</v>
      </c>
      <c r="CX3" s="279" t="s">
        <v>42</v>
      </c>
      <c r="CY3" s="262" t="s">
        <v>72</v>
      </c>
      <c r="CZ3" s="279"/>
      <c r="DA3" s="279"/>
      <c r="DB3" s="266">
        <v>5</v>
      </c>
      <c r="DC3" s="280" t="s">
        <v>109</v>
      </c>
      <c r="DD3" s="276" t="s">
        <v>632</v>
      </c>
      <c r="DE3" s="277" t="s">
        <v>633</v>
      </c>
      <c r="DF3" s="276" t="s">
        <v>631</v>
      </c>
      <c r="DG3" s="277" t="s">
        <v>634</v>
      </c>
      <c r="DH3" s="278" t="s">
        <v>106</v>
      </c>
      <c r="DI3" s="278" t="s">
        <v>73</v>
      </c>
      <c r="DJ3" s="281" t="s">
        <v>42</v>
      </c>
      <c r="DK3" s="282" t="s">
        <v>72</v>
      </c>
      <c r="DL3" s="281"/>
      <c r="DM3" s="279"/>
      <c r="DN3" s="266">
        <v>20</v>
      </c>
      <c r="DO3" s="272" t="s">
        <v>109</v>
      </c>
      <c r="DP3" s="273" t="s">
        <v>632</v>
      </c>
      <c r="DQ3" s="277" t="s">
        <v>633</v>
      </c>
      <c r="DR3" s="276" t="s">
        <v>631</v>
      </c>
      <c r="DS3" s="277" t="s">
        <v>634</v>
      </c>
      <c r="DT3" s="278" t="s">
        <v>106</v>
      </c>
      <c r="DU3" s="278" t="s">
        <v>73</v>
      </c>
      <c r="DV3" s="281" t="s">
        <v>42</v>
      </c>
      <c r="DW3" s="282" t="s">
        <v>72</v>
      </c>
      <c r="DX3" s="281"/>
      <c r="DY3" s="281"/>
      <c r="DZ3" s="278">
        <v>100</v>
      </c>
      <c r="EA3" s="280" t="s">
        <v>109</v>
      </c>
      <c r="EB3" s="276" t="s">
        <v>632</v>
      </c>
      <c r="EC3" s="277" t="s">
        <v>633</v>
      </c>
      <c r="ED3" s="276" t="s">
        <v>631</v>
      </c>
      <c r="EE3" s="277" t="s">
        <v>634</v>
      </c>
      <c r="EF3" s="266" t="s">
        <v>106</v>
      </c>
      <c r="EG3" s="266" t="s">
        <v>73</v>
      </c>
      <c r="EH3" s="279" t="s">
        <v>42</v>
      </c>
      <c r="EI3" s="262" t="s">
        <v>72</v>
      </c>
      <c r="EJ3" s="279"/>
      <c r="EK3" s="279"/>
      <c r="EL3" s="266">
        <v>1.0000000000000001E+25</v>
      </c>
      <c r="EM3" s="272" t="s">
        <v>109</v>
      </c>
      <c r="EN3" s="272" t="s">
        <v>112</v>
      </c>
      <c r="EO3" s="272" t="s">
        <v>113</v>
      </c>
      <c r="EP3" s="266" t="s">
        <v>72</v>
      </c>
      <c r="EQ3" s="266" t="s">
        <v>114</v>
      </c>
      <c r="ER3" s="266" t="s">
        <v>115</v>
      </c>
      <c r="ES3" s="266" t="s">
        <v>106</v>
      </c>
      <c r="ET3" s="266" t="s">
        <v>73</v>
      </c>
      <c r="EU3" s="279" t="s">
        <v>42</v>
      </c>
    </row>
    <row r="4" spans="1:154" x14ac:dyDescent="0.35">
      <c r="A4" s="50" t="s">
        <v>207</v>
      </c>
      <c r="B4" s="34" t="str">
        <f>IF(ISNUMBER('1c. Kons. porevann'!E4),1000*'1c. Kons. porevann'!E4,IF(ISNUMBER('1b. Kons. umettet jord'!E4),1000*'1b. Kons. umettet jord'!E4/C4,""))</f>
        <v/>
      </c>
      <c r="C4" s="244">
        <f>IF(Stoff!B4="uorganisk",Stoff!C4,Stoff!D4*'1a. Spredningsmodell input'!$C$11)</f>
        <v>6607</v>
      </c>
      <c r="D4" s="34" t="str">
        <f>IF(ISNUMBER(B4),0.000001*('1b. Kons. umettet jord'!G4*'1a. Spredningsmodell input'!$C$12+B4*0.001*'1a. Spredningsmodell input'!$C$14)*1000*'1a. Spredningsmodell input'!$B$41*'1a. Spredningsmodell input'!$C$18,"")</f>
        <v/>
      </c>
      <c r="E4" s="283">
        <f>C4*'1a. Spredningsmodell input'!$C$12/'1a. Spredningsmodell input'!$C$14+1</f>
        <v>56160.499999999993</v>
      </c>
      <c r="F4" s="284">
        <f>'1a. Spredningsmodell input'!$B$43/E4</f>
        <v>2.670916391413894E-5</v>
      </c>
      <c r="G4" s="34" t="e">
        <f>Stoff!P4*Mellomregninger!D4</f>
        <v>#VALUE!</v>
      </c>
      <c r="H4" s="283" t="e">
        <f>(D4-G4)*(F4/(F4+Stoff!L4))</f>
        <v>#VALUE!</v>
      </c>
      <c r="I4" s="283">
        <f>F4/(F4+Stoff!L4)</f>
        <v>1</v>
      </c>
      <c r="J4" s="285" t="str">
        <f>IF(B4="","",IF(ISNUMBER('1d. Kons. mettet sone'!E4),'1d. Kons. mettet sone'!E4,IF(ISNUMBER('1e. Kons. grunnvann'!E4),'1e. Kons. grunnvann'!E4*Mellomregninger!K4,0)))</f>
        <v/>
      </c>
      <c r="K4" s="286">
        <f>IF(Stoff!B4="uorganisk",Stoff!C4,Stoff!D4*'1a. Spredningsmodell input'!$C$24)</f>
        <v>6607</v>
      </c>
      <c r="L4" s="27" t="e">
        <f>IF(ISNUMBER('1e. Kons. grunnvann'!E4),1000*'1e. Kons. grunnvann'!E4,1000*J4/K4)</f>
        <v>#VALUE!</v>
      </c>
      <c r="M4" s="34">
        <f>K4*'1a. Spredningsmodell input'!$C$25/'1a. Spredningsmodell input'!$C$26+1</f>
        <v>28080.749999999996</v>
      </c>
      <c r="N4" s="284">
        <f>'1a. Spredningsmodell input'!$C$26/M4</f>
        <v>1.4244633779368431E-5</v>
      </c>
      <c r="O4" s="287" t="e">
        <f>0.000000001*(J4*'1a. Spredningsmodell input'!$C$25+L4)*1000*'1a. Spredningsmodell input'!$B$45</f>
        <v>#VALUE!</v>
      </c>
      <c r="P4" s="287" t="e">
        <f>O4*Stoff!P4</f>
        <v>#VALUE!</v>
      </c>
      <c r="Q4" s="287">
        <f>N4/(N4+Stoff!M4)</f>
        <v>1</v>
      </c>
      <c r="R4" s="288">
        <f>IF(ISNUMBER('1f. Kons. resipient'!E4),'1f. Kons. resipient'!E4,0)</f>
        <v>0</v>
      </c>
      <c r="S4" s="288">
        <f>0.000000001*'1a. Spredningsmodell input'!$C$36*R4*1000</f>
        <v>0</v>
      </c>
      <c r="T4" s="288">
        <f>1/'1a. Spredningsmodell input'!$C$35</f>
        <v>1</v>
      </c>
      <c r="U4" s="288">
        <f>1/'1a. Spredningsmodell input'!$C$35</f>
        <v>1</v>
      </c>
      <c r="V4" s="289" t="e">
        <f>(1/($N4+Stoff!$L4))*(LN(($D4*$I4/($D4*$I4+$J4))*($F4+Stoff!$L4+$N4+Stoff!$M4)/($N4+Stoff!$M4)))</f>
        <v>#VALUE!</v>
      </c>
      <c r="W4" s="290" t="e">
        <f>($D4-Stoff!$P4*$D4)*EXP(-($F4+Stoff!$L4*365)*V4)</f>
        <v>#VALUE!</v>
      </c>
      <c r="X4" s="291" t="e">
        <f>(Stoff!$P4*$D4)*EXP(-'1a. Spredningsmodell input'!$B$43*V4)</f>
        <v>#VALUE!</v>
      </c>
      <c r="Y4" s="290" t="e">
        <f>($D4-Stoff!$P4*$D4-W4)*($F4/($F4+Stoff!$L4*365))</f>
        <v>#VALUE!</v>
      </c>
      <c r="Z4" s="290" t="e">
        <f>(Stoff!$P4*$D4)-X4</f>
        <v>#VALUE!</v>
      </c>
      <c r="AA4" s="290" t="e">
        <f>($O4+Y4)*EXP(-($N4+Stoff!$M4*365)*V4)</f>
        <v>#VALUE!</v>
      </c>
      <c r="AB4" s="290" t="e">
        <f>(Stoff!$P4*$O4+Z4)*EXP(-('1a. Spredningsmodell input'!$B$46)*V4)</f>
        <v>#VALUE!</v>
      </c>
      <c r="AC4" s="292" t="e">
        <f>((AA4+AB4)*1000000000)/('1a. Spredningsmodell input'!$B$45*1000)</f>
        <v>#VALUE!</v>
      </c>
      <c r="AD4" s="293" t="e">
        <f>0.001*AC4/('1a. Spredningsmodell input'!$C$25+'1a. Spredningsmodell input'!$C$26/Mellomregninger!$K4)</f>
        <v>#VALUE!</v>
      </c>
      <c r="AE4" s="294" t="e">
        <f>1000*AD4/$K4+AB4*1000000000/('1a. Spredningsmodell input'!$B$45*1000)</f>
        <v>#VALUE!</v>
      </c>
      <c r="AF4" s="294" t="e">
        <f t="shared" ref="AF4:AF67" si="0">1000*AD4/$K4</f>
        <v>#VALUE!</v>
      </c>
      <c r="AG4" s="294" t="e">
        <f>AB4*1000000000/('1a. Spredningsmodell input'!$B$45*1000)</f>
        <v>#VALUE!</v>
      </c>
      <c r="AH4" s="289" t="e">
        <f>(1/('1a. Spredningsmodell input'!$B$46))*(LN(($D4*Stoff!$P4/($D4*Stoff!$P4+$P4*Stoff!$P4))*('1a. Spredningsmodell input'!$B$43+'1a. Spredningsmodell input'!$B$46)/('1a. Spredningsmodell input'!$B$46)))</f>
        <v>#VALUE!</v>
      </c>
      <c r="AI4" s="290" t="e">
        <f>($D4-Stoff!$P4*$D4)*EXP(-($F4+Stoff!$L4*365)*AH4)</f>
        <v>#VALUE!</v>
      </c>
      <c r="AJ4" s="291" t="e">
        <f>(Stoff!$P4*$D4)*EXP(-'1a. Spredningsmodell input'!$B$43*AH4)</f>
        <v>#VALUE!</v>
      </c>
      <c r="AK4" s="290" t="e">
        <f>($D4-Stoff!$P4*$D4-AI4)*($F4/($F4+Stoff!$L4*365))</f>
        <v>#VALUE!</v>
      </c>
      <c r="AL4" s="290" t="e">
        <f>(Stoff!$P4*$D4)-AJ4</f>
        <v>#VALUE!</v>
      </c>
      <c r="AM4" s="290" t="e">
        <f>($O4+AK4)*EXP(-($N4+Stoff!$M4*365)*AH4)</f>
        <v>#VALUE!</v>
      </c>
      <c r="AN4" s="290" t="e">
        <f>(Stoff!$P4*$O4+AL4)*EXP(-('1a. Spredningsmodell input'!$B$46)*AH4)</f>
        <v>#VALUE!</v>
      </c>
      <c r="AO4" s="292" t="e">
        <f>((AM4+AN4)*1000000000)/('1a. Spredningsmodell input'!$B$45*1000)</f>
        <v>#VALUE!</v>
      </c>
      <c r="AP4" s="293" t="e">
        <f>0.001*AO4/('1a. Spredningsmodell input'!$C$25+'1a. Spredningsmodell input'!$C$26/Mellomregninger!$K4)</f>
        <v>#VALUE!</v>
      </c>
      <c r="AQ4" s="294" t="e">
        <f>1000*AP4/$K4+AN4*1000000000/('1a. Spredningsmodell input'!$B$45*1000)</f>
        <v>#VALUE!</v>
      </c>
      <c r="AR4" s="294" t="e">
        <f t="shared" ref="AR4:AR67" si="1">1000*AP4/$K4</f>
        <v>#VALUE!</v>
      </c>
      <c r="AS4" s="294" t="e">
        <f>AN4*1000000000/('1a. Spredningsmodell input'!$B$45*1000)</f>
        <v>#VALUE!</v>
      </c>
      <c r="AT4" s="295">
        <f>AT3</f>
        <v>5</v>
      </c>
      <c r="AU4" s="290" t="e">
        <f>($D4-Stoff!$P4*$D4)*EXP(-($F4+Stoff!$L4*365)*AT4)</f>
        <v>#VALUE!</v>
      </c>
      <c r="AV4" s="291" t="e">
        <f>(Stoff!$P4*$D4)*EXP(-'1a. Spredningsmodell input'!$B$43*AT4)</f>
        <v>#VALUE!</v>
      </c>
      <c r="AW4" s="290" t="e">
        <f>($D4-Stoff!$P4*$D4-AU4)*($F4/($F4+Stoff!$L4*365))</f>
        <v>#VALUE!</v>
      </c>
      <c r="AX4" s="290" t="e">
        <f>(Stoff!$P4*$D4)-AV4</f>
        <v>#VALUE!</v>
      </c>
      <c r="AY4" s="290" t="e">
        <f>($O4+AW4)*EXP(-($N4+Stoff!$M4*365)*AT4)</f>
        <v>#VALUE!</v>
      </c>
      <c r="AZ4" s="290" t="e">
        <f>(Stoff!$P4*$O4+AX4)*EXP(-('1a. Spredningsmodell input'!$B$46)*AT4)</f>
        <v>#VALUE!</v>
      </c>
      <c r="BA4" s="292" t="e">
        <f>((AY4+AZ4)*1000000000)/('1a. Spredningsmodell input'!$B$45*1000)</f>
        <v>#VALUE!</v>
      </c>
      <c r="BB4" s="293" t="e">
        <f>0.001*BA4/('1a. Spredningsmodell input'!$C$25+'1a. Spredningsmodell input'!$C$26/Mellomregninger!$K4)</f>
        <v>#VALUE!</v>
      </c>
      <c r="BC4" s="294" t="e">
        <f>1000*BB4/$K4+AZ4*1000000000/('1a. Spredningsmodell input'!$B$45*1000)</f>
        <v>#VALUE!</v>
      </c>
      <c r="BD4" s="294" t="e">
        <f t="shared" ref="BD4:BD67" si="2">1000*BB4/$K4</f>
        <v>#VALUE!</v>
      </c>
      <c r="BE4" s="294" t="e">
        <f>AZ4*1000000000/('1a. Spredningsmodell input'!$B$45*1000)</f>
        <v>#VALUE!</v>
      </c>
      <c r="BF4" s="295">
        <f>BF3</f>
        <v>20</v>
      </c>
      <c r="BG4" s="290" t="e">
        <f>($D4-Stoff!$P4*$D4)*EXP(-($F4+Stoff!$L4*365)*BF4)</f>
        <v>#VALUE!</v>
      </c>
      <c r="BH4" s="291" t="e">
        <f>(Stoff!$P4*$D4)*EXP(-'1a. Spredningsmodell input'!$B$43*BF4)</f>
        <v>#VALUE!</v>
      </c>
      <c r="BI4" s="290" t="e">
        <f>($D4-Stoff!$P4*$D4-BG4)*($F4/($F4+Stoff!$L4*365))</f>
        <v>#VALUE!</v>
      </c>
      <c r="BJ4" s="290" t="e">
        <f>(Stoff!$P4*$D4)-BH4</f>
        <v>#VALUE!</v>
      </c>
      <c r="BK4" s="290" t="e">
        <f>($O4+BI4)*EXP(-($N4+Stoff!$M4*365)*BF4)</f>
        <v>#VALUE!</v>
      </c>
      <c r="BL4" s="290" t="e">
        <f>(Stoff!$P4*$O4+BJ4)*EXP(-('1a. Spredningsmodell input'!$B$46)*BF4)</f>
        <v>#VALUE!</v>
      </c>
      <c r="BM4" s="292" t="e">
        <f>((BK4+BL4)*1000000000)/('1a. Spredningsmodell input'!$B$45*1000)</f>
        <v>#VALUE!</v>
      </c>
      <c r="BN4" s="293" t="e">
        <f>0.001*BM4/('1a. Spredningsmodell input'!$C$25+'1a. Spredningsmodell input'!$C$26/Mellomregninger!$K4)</f>
        <v>#VALUE!</v>
      </c>
      <c r="BO4" s="294" t="e">
        <f>1000*BN4/$K4+BL4*1000000000/('1a. Spredningsmodell input'!$B$45*1000)</f>
        <v>#VALUE!</v>
      </c>
      <c r="BP4" s="294" t="e">
        <f t="shared" ref="BP4:BP67" si="3">1000*BN4/$K4</f>
        <v>#VALUE!</v>
      </c>
      <c r="BQ4" s="294" t="e">
        <f>BL4*1000000000/('1a. Spredningsmodell input'!$B$45*1000)</f>
        <v>#VALUE!</v>
      </c>
      <c r="BR4" s="295">
        <f>BR3</f>
        <v>100</v>
      </c>
      <c r="BS4" s="290" t="e">
        <f>($D4-Stoff!$P4*$D4)*EXP(-($F4+Stoff!$L4*365)*BR4)</f>
        <v>#VALUE!</v>
      </c>
      <c r="BT4" s="291" t="e">
        <f>(Stoff!$P4*$D4)*EXP(-'1a. Spredningsmodell input'!$B$43*BR4)</f>
        <v>#VALUE!</v>
      </c>
      <c r="BU4" s="290" t="e">
        <f>($D4-Stoff!$P4*$D4-BS4)*($F4/($F4+Stoff!$L4*365))</f>
        <v>#VALUE!</v>
      </c>
      <c r="BV4" s="290" t="e">
        <f>(Stoff!$P4*$D4)-BT4</f>
        <v>#VALUE!</v>
      </c>
      <c r="BW4" s="290" t="e">
        <f>($O4+BU4)*EXP(-($N4+Stoff!$M4*365)*BR4)</f>
        <v>#VALUE!</v>
      </c>
      <c r="BX4" s="290" t="e">
        <f>(Stoff!$P4*$O4+BV4)*EXP(-('1a. Spredningsmodell input'!$B$46)*BR4)</f>
        <v>#VALUE!</v>
      </c>
      <c r="BY4" s="292" t="e">
        <f>((BW4+BX4)*1000000000)/('1a. Spredningsmodell input'!$B$45*1000)</f>
        <v>#VALUE!</v>
      </c>
      <c r="BZ4" s="293" t="e">
        <f>0.001*BY4/('1a. Spredningsmodell input'!$C$25+'1a. Spredningsmodell input'!$C$26/Mellomregninger!$K4)</f>
        <v>#VALUE!</v>
      </c>
      <c r="CA4" s="294" t="e">
        <f>1000*BZ4/$K4+BX4*1000000000/('1a. Spredningsmodell input'!$B$45*1000)</f>
        <v>#VALUE!</v>
      </c>
      <c r="CB4" s="294" t="e">
        <f t="shared" ref="CB4:CB67" si="4">1000*BZ4/$K4</f>
        <v>#VALUE!</v>
      </c>
      <c r="CC4" s="294" t="e">
        <f>BX4*1000000000/('1a. Spredningsmodell input'!$B$45*1000)</f>
        <v>#VALUE!</v>
      </c>
      <c r="CD4" s="294" t="e">
        <f>V4+'1a. Spredningsmodell input'!$C$35</f>
        <v>#VALUE!</v>
      </c>
      <c r="CE4" s="294" t="e">
        <f>($S4+$Q4*($O4+$I4*($D4*(1-Stoff!$P4))*(1-EXP(-($F4+Stoff!$L4*365)*CD4)))*(1-EXP(-($N4+Stoff!$M4*365)*CD4)))</f>
        <v>#VALUE!</v>
      </c>
      <c r="CF4" s="294" t="e">
        <f t="shared" ref="CF4:CF67" si="5">AF4</f>
        <v>#VALUE!</v>
      </c>
      <c r="CG4" s="296" t="e">
        <f>(CF4/1000000)*'1a. Spredningsmodell input'!$B$49*'1a. Spredningsmodell input'!$C$35</f>
        <v>#VALUE!</v>
      </c>
      <c r="CH4" s="294" t="e">
        <f>AG4</f>
        <v>#VALUE!</v>
      </c>
      <c r="CI4" s="290" t="e">
        <f>(CH4/1000000)*'1a. Spredningsmodell input'!$B$49*'1a. Spredningsmodell input'!$C$35</f>
        <v>#VALUE!</v>
      </c>
      <c r="CJ4" s="297" t="e">
        <f>($S4)*EXP(-(Stoff!$N4*365+$U4)*CD4)+CG4</f>
        <v>#VALUE!</v>
      </c>
      <c r="CK4" s="297" t="e">
        <f>(Stoff!$P4*$S4+CI4)*EXP(-$T4*CD4)</f>
        <v>#VALUE!</v>
      </c>
      <c r="CL4" s="297" t="e">
        <f>(CJ4+CK4)*1000000000/('1a. Spredningsmodell input'!$C$36*1000)</f>
        <v>#VALUE!</v>
      </c>
      <c r="CM4" s="297" t="e">
        <f>$G4*(1-EXP(-'1a. Spredningsmodell input'!$B$43*Mellomregninger!CD4))*(1-EXP(-'1a. Spredningsmodell input'!$B$46*Mellomregninger!CD4))</f>
        <v>#VALUE!</v>
      </c>
      <c r="CN4" s="297"/>
      <c r="CO4" s="297"/>
      <c r="CP4" s="290">
        <f>IF(ISNUMBER(AH4),AH4+'1a. Spredningsmodell input'!$C$35,'1a. Spredningsmodell input'!$C$35)</f>
        <v>1</v>
      </c>
      <c r="CQ4" s="294" t="e">
        <f>($S4+$Q4*($O4+$I4*($D4*(1-Stoff!$P4))*(1-EXP(-($F4+Stoff!$L4*365)*CP4)))*(1-EXP(-($N4+Stoff!$M4*365)*CP4)))</f>
        <v>#VALUE!</v>
      </c>
      <c r="CR4" s="294" t="e">
        <f t="shared" ref="CR4:CR67" si="6">AR4</f>
        <v>#VALUE!</v>
      </c>
      <c r="CS4" s="296" t="e">
        <f>(CR4/1000000)*('1a. Spredningsmodell input'!$B$49*'1a. Spredningsmodell input'!$C$35)</f>
        <v>#VALUE!</v>
      </c>
      <c r="CT4" s="294" t="e">
        <f t="shared" ref="CT4:CT67" si="7">AS4</f>
        <v>#VALUE!</v>
      </c>
      <c r="CU4" s="290" t="e">
        <f>(CT4/1000000)*('1a. Spredningsmodell input'!$B$49)*'1a. Spredningsmodell input'!$C$35</f>
        <v>#VALUE!</v>
      </c>
      <c r="CV4" s="297" t="e">
        <f>($S4)*EXP(-(Stoff!$N4*365+$U4)*CP4)+CS4</f>
        <v>#VALUE!</v>
      </c>
      <c r="CW4" s="297" t="e">
        <f>(Stoff!$P4*$S4+CU4)*EXP(-$T4*CP4)</f>
        <v>#VALUE!</v>
      </c>
      <c r="CX4" s="297">
        <f>IF(ISERROR(CV4),0,(CV4+CW4)*1000000000/('1a. Spredningsmodell input'!$C$36*1000))</f>
        <v>0</v>
      </c>
      <c r="CY4" s="297" t="e">
        <f>$G4*(1-EXP(-'1a. Spredningsmodell input'!$B$43*Mellomregninger!CP4))*(1-EXP(-'1a. Spredningsmodell input'!$B$46*Mellomregninger!CP4))</f>
        <v>#VALUE!</v>
      </c>
      <c r="CZ4" s="297"/>
      <c r="DA4" s="297"/>
      <c r="DB4" s="262">
        <f>DB3</f>
        <v>5</v>
      </c>
      <c r="DC4" s="298" t="e">
        <f>($S4+$Q4*($O4+$I4*($D4*(1-Stoff!$P4))*(1-EXP(-($F4+Stoff!$L4*365)*DB4)))*(1-EXP(-($N4+Stoff!$M4*365)*DB4)))</f>
        <v>#VALUE!</v>
      </c>
      <c r="DD4" s="294" t="e">
        <f t="shared" ref="DD4:DD67" si="8">BD4</f>
        <v>#VALUE!</v>
      </c>
      <c r="DE4" s="296" t="e">
        <f>(DD4/1000000)*('1a. Spredningsmodell input'!$B$49)*'1a. Spredningsmodell input'!$C$35</f>
        <v>#VALUE!</v>
      </c>
      <c r="DF4" s="294" t="e">
        <f>BE4</f>
        <v>#VALUE!</v>
      </c>
      <c r="DG4" s="290" t="e">
        <f>(DF4/1000000)*('1a. Spredningsmodell input'!$B$49)*'1a. Spredningsmodell input'!$C$35</f>
        <v>#VALUE!</v>
      </c>
      <c r="DH4" s="297" t="e">
        <f>($S4)*EXP(-(Stoff!$N4*365+$U4)*DB4)+DE4</f>
        <v>#VALUE!</v>
      </c>
      <c r="DI4" s="297" t="e">
        <f>(Stoff!$P4*$S4+DG4)*EXP(-$T4*DB4)</f>
        <v>#VALUE!</v>
      </c>
      <c r="DJ4" s="297" t="e">
        <f>(DH4+DI4)*1000000000/('1a. Spredningsmodell input'!$C$36*1000)</f>
        <v>#VALUE!</v>
      </c>
      <c r="DK4" s="297" t="e">
        <f>$G4*(1-EXP(-'1a. Spredningsmodell input'!$B$43*Mellomregninger!DB4))*(1-EXP(-'1a. Spredningsmodell input'!$B$46*Mellomregninger!DB4))</f>
        <v>#VALUE!</v>
      </c>
      <c r="DL4" s="297"/>
      <c r="DM4" s="297"/>
      <c r="DN4" s="262">
        <f>DN3</f>
        <v>20</v>
      </c>
      <c r="DO4" s="298" t="e">
        <f>($S4+$Q4*($O4+$I4*($D4*(1-Stoff!$P4))*(1-EXP(-($F4+Stoff!$L4*365)*DN4)))*(1-EXP(-($N4+Stoff!$M4*365)*DN4)))</f>
        <v>#VALUE!</v>
      </c>
      <c r="DP4" s="294" t="e">
        <f>BP4</f>
        <v>#VALUE!</v>
      </c>
      <c r="DQ4" s="296" t="e">
        <f>(DP4/1000000)*('1a. Spredningsmodell input'!$B$49)*'1a. Spredningsmodell input'!$C$35</f>
        <v>#VALUE!</v>
      </c>
      <c r="DR4" s="294" t="e">
        <f t="shared" ref="DR4:DR67" si="9">BQ4</f>
        <v>#VALUE!</v>
      </c>
      <c r="DS4" s="290" t="e">
        <f>(DR4/1000000)*('1a. Spredningsmodell input'!$B$49)*'1a. Spredningsmodell input'!$C$35</f>
        <v>#VALUE!</v>
      </c>
      <c r="DT4" s="297" t="e">
        <f>($S4)*EXP(-(Stoff!$N4*365+$U4)*DN4)+DQ4</f>
        <v>#VALUE!</v>
      </c>
      <c r="DU4" s="297" t="e">
        <f>(Stoff!$P4*$S4+DS4)*EXP(-$T4*DN4)</f>
        <v>#VALUE!</v>
      </c>
      <c r="DV4" s="297" t="e">
        <f>(DT4+DU4)*1000000000/('1a. Spredningsmodell input'!$C$36*1000)</f>
        <v>#VALUE!</v>
      </c>
      <c r="DW4" s="297" t="e">
        <f>$G4*(1-EXP(-'1a. Spredningsmodell input'!$B$43*Mellomregninger!DN4))*(1-EXP(-'1a. Spredningsmodell input'!$B$46*Mellomregninger!DN4))</f>
        <v>#VALUE!</v>
      </c>
      <c r="DX4" s="297"/>
      <c r="DY4" s="297"/>
      <c r="DZ4" s="262">
        <f>DZ3</f>
        <v>100</v>
      </c>
      <c r="EA4" s="298" t="e">
        <f>($S4+$Q4*($O4+$I4*($D4*(1-Stoff!$P4))*(1-EXP(-($F4+Stoff!$L4*365)*DZ4)))*(1-EXP(-($N4+Stoff!$M4*365)*DZ4)))</f>
        <v>#VALUE!</v>
      </c>
      <c r="EB4" s="294" t="e">
        <f t="shared" ref="EB4:EB67" si="10">CB4</f>
        <v>#VALUE!</v>
      </c>
      <c r="EC4" s="296" t="e">
        <f>(EB4/1000000)*('1a. Spredningsmodell input'!$B$49)*'1a. Spredningsmodell input'!$C$35</f>
        <v>#VALUE!</v>
      </c>
      <c r="ED4" s="294" t="e">
        <f t="shared" ref="ED4:ED67" si="11">CC4</f>
        <v>#VALUE!</v>
      </c>
      <c r="EE4" s="290" t="e">
        <f>(ED4/1000000)*('1a. Spredningsmodell input'!$B$49)*'1a. Spredningsmodell input'!$C$35</f>
        <v>#VALUE!</v>
      </c>
      <c r="EF4" s="297" t="e">
        <f>($S4)*EXP(-(Stoff!$N4*365+$U4)*DZ4)+EC4</f>
        <v>#VALUE!</v>
      </c>
      <c r="EG4" s="297" t="e">
        <f>(Stoff!$P4*$S4+EE4)*EXP(-$T4*DZ4)</f>
        <v>#VALUE!</v>
      </c>
      <c r="EH4" s="297" t="e">
        <f>(EF4+EG4)*1000000000/('1a. Spredningsmodell input'!$C$36*1000)</f>
        <v>#VALUE!</v>
      </c>
      <c r="EI4" s="297" t="e">
        <f>$G4*(1-EXP(-'1a. Spredningsmodell input'!$B$43*Mellomregninger!DZ4))*(1-EXP(-'1a. Spredningsmodell input'!$B$46*Mellomregninger!DZ4))</f>
        <v>#VALUE!</v>
      </c>
      <c r="EJ4" s="297"/>
      <c r="EK4" s="297"/>
      <c r="EL4" s="262">
        <f>EL3</f>
        <v>1.0000000000000001E+25</v>
      </c>
      <c r="EM4" s="294" t="e">
        <f>($S4+$Q4*($O4+$I4*($D4*(1-Stoff!$P4))*(1-EXP(-($F4+Stoff!$L4*365)*EL4)))*(1-EXP(-($N4+Stoff!$M4*365)*EL4)))</f>
        <v>#VALUE!</v>
      </c>
      <c r="EN4" s="296" t="e">
        <f>($S4+$Q4*($O4+$I4*($D4*(1-Stoff!$P4))*(1-EXP(-($F4+Stoff!$L4*365)*(EL4-'1a. Spredningsmodell input'!$C$35))))*(1-EXP(-($N4+Stoff!$M4*365)*(EL4-'1a. Spredningsmodell input'!$C$35))))</f>
        <v>#VALUE!</v>
      </c>
      <c r="EO4" s="294" t="e">
        <f>IF(EL4&lt;'1a. Spredningsmodell input'!$C$35,EM4-($S4)*EXP(-(Stoff!$N4*365+$U4)*EL4),EM4-EN4)</f>
        <v>#VALUE!</v>
      </c>
      <c r="EP4" s="290" t="e">
        <f>((($D4*(Stoff!$P4))*(1-EXP(-'1a. Spredningsmodell input'!$B$43*EL4)))*(1-EXP(-'1a. Spredningsmodell input'!$B$46*EL4)))</f>
        <v>#VALUE!</v>
      </c>
      <c r="EQ4" s="294" t="e">
        <f>((($D4*(Stoff!$P4))*(1-EXP(-'1a. Spredningsmodell input'!$B$43*(EL4-'1a. Spredningsmodell input'!$C$35))))*(1-EXP(-'1a. Spredningsmodell input'!$B$46*(EL4-'1a. Spredningsmodell input'!$C$35))))</f>
        <v>#VALUE!</v>
      </c>
      <c r="ER4" s="290" t="e">
        <f>IF(EL4&lt;'1a. Spredningsmodell input'!$C$35,0,EP4-EQ4)</f>
        <v>#VALUE!</v>
      </c>
      <c r="ES4" s="297" t="e">
        <f>($S4)*EXP(-(Stoff!$N4*365+$U4)*EL4)+EO4</f>
        <v>#VALUE!</v>
      </c>
      <c r="ET4" s="297" t="e">
        <f>(Stoff!$P4*$S4+ER4)*EXP(-$T4*EL4)</f>
        <v>#VALUE!</v>
      </c>
      <c r="EU4" s="297" t="e">
        <f>(ES4+ET4)*1000000000/('1a. Spredningsmodell input'!$C$36*1000)</f>
        <v>#VALUE!</v>
      </c>
      <c r="EV4" s="262" t="e">
        <f t="shared" ref="EV4:EV35" si="12">MAXA(CL4,CX4)</f>
        <v>#VALUE!</v>
      </c>
      <c r="EW4" s="299" t="e">
        <f t="shared" ref="EW4:EW35" si="13">IF(CL4=EV4,CD4,CP4)</f>
        <v>#VALUE!</v>
      </c>
      <c r="EX4" s="262" t="e">
        <f>IF(CL4=EV4,CE4+S4+CM4,CQ4+S4)</f>
        <v>#VALUE!</v>
      </c>
    </row>
    <row r="5" spans="1:154" x14ac:dyDescent="0.35">
      <c r="A5" s="50" t="s">
        <v>206</v>
      </c>
      <c r="B5" s="34" t="str">
        <f>IF(ISNUMBER('1c. Kons. porevann'!E5),1000*'1c. Kons. porevann'!E5,IF(ISNUMBER('1b. Kons. umettet jord'!E5),1000*'1b. Kons. umettet jord'!E5/C5,""))</f>
        <v/>
      </c>
      <c r="C5" s="244">
        <f>IF(Stoff!B5="uorganisk",Stoff!C5,Stoff!D5*'1a. Spredningsmodell input'!$C$11)</f>
        <v>154882</v>
      </c>
      <c r="D5" s="34" t="str">
        <f>IF(ISNUMBER(B5),0.000001*('1b. Kons. umettet jord'!G5*'1a. Spredningsmodell input'!$C$12+B5*0.001*'1a. Spredningsmodell input'!$C$14)*1000*'1a. Spredningsmodell input'!$B$41*'1a. Spredningsmodell input'!$C$18,"")</f>
        <v/>
      </c>
      <c r="E5" s="283">
        <f>C5*'1a. Spredningsmodell input'!$C$12/'1a. Spredningsmodell input'!$C$14+1</f>
        <v>1316497.9999999998</v>
      </c>
      <c r="F5" s="284">
        <f>'1a. Spredningsmodell input'!$B$43/E5</f>
        <v>1.1393864631773083E-6</v>
      </c>
      <c r="G5" s="34" t="e">
        <f>Stoff!P5*Mellomregninger!D5</f>
        <v>#VALUE!</v>
      </c>
      <c r="H5" s="283" t="e">
        <f>(D5-G5)*(F5/(F5+Stoff!L5))</f>
        <v>#VALUE!</v>
      </c>
      <c r="I5" s="283">
        <f>F5/(F5+Stoff!L5)</f>
        <v>1</v>
      </c>
      <c r="J5" s="285" t="str">
        <f>IF(B5="","",IF(ISNUMBER('1d. Kons. mettet sone'!E5),'1d. Kons. mettet sone'!E5,IF(ISNUMBER('1e. Kons. grunnvann'!E5),'1e. Kons. grunnvann'!E5*Mellomregninger!K5,0)))</f>
        <v/>
      </c>
      <c r="K5" s="286">
        <f>IF(Stoff!B5="uorganisk",Stoff!C5,Stoff!D5*'1a. Spredningsmodell input'!$C$24)</f>
        <v>154882</v>
      </c>
      <c r="L5" s="27" t="e">
        <f>IF(ISNUMBER('1e. Kons. grunnvann'!E5),1000*'1e. Kons. grunnvann'!E5,1000*J5/K5)</f>
        <v>#VALUE!</v>
      </c>
      <c r="M5" s="34">
        <f>K5*'1a. Spredningsmodell input'!$C$25/'1a. Spredningsmodell input'!$C$26+1</f>
        <v>658249.49999999988</v>
      </c>
      <c r="N5" s="284">
        <f>'1a. Spredningsmodell input'!$C$26/M5</f>
        <v>6.0767231877882189E-7</v>
      </c>
      <c r="O5" s="287" t="e">
        <f>0.000000001*(J5*'1a. Spredningsmodell input'!$C$25+L5)*1000*'1a. Spredningsmodell input'!$B$45</f>
        <v>#VALUE!</v>
      </c>
      <c r="P5" s="287" t="e">
        <f>O5*Stoff!P5</f>
        <v>#VALUE!</v>
      </c>
      <c r="Q5" s="287">
        <f>N5/(N5+Stoff!M5)</f>
        <v>1</v>
      </c>
      <c r="R5" s="288">
        <f>IF(ISNUMBER('1f. Kons. resipient'!E5),'1f. Kons. resipient'!E5,0)</f>
        <v>0</v>
      </c>
      <c r="S5" s="288">
        <f>0.000000001*'1a. Spredningsmodell input'!$C$36*R5*1000</f>
        <v>0</v>
      </c>
      <c r="T5" s="288">
        <f>1/'1a. Spredningsmodell input'!$C$35</f>
        <v>1</v>
      </c>
      <c r="U5" s="288">
        <f>1/'1a. Spredningsmodell input'!$C$35</f>
        <v>1</v>
      </c>
      <c r="V5" s="300" t="e">
        <f>(1/($N5+Stoff!$L5))*(LN(($D5*$I5/($D5*$I5+$J5))*($F5+Stoff!$L5+$N5+Stoff!$M5)/($N5+Stoff!$M5)))</f>
        <v>#VALUE!</v>
      </c>
      <c r="W5" s="290" t="e">
        <f>($D5-Stoff!$P5*$D5)*EXP(-($F5+Stoff!$L5*365)*V5)</f>
        <v>#VALUE!</v>
      </c>
      <c r="X5" s="291" t="e">
        <f>(Stoff!$P5*$D5)*EXP(-'1a. Spredningsmodell input'!$B$43*V5)</f>
        <v>#VALUE!</v>
      </c>
      <c r="Y5" s="290" t="e">
        <f>($D5-Stoff!$P5*$D5-W5)*($F5/($F5+Stoff!$L5*365))</f>
        <v>#VALUE!</v>
      </c>
      <c r="Z5" s="290" t="e">
        <f>(Stoff!$P5*$D5)-X5</f>
        <v>#VALUE!</v>
      </c>
      <c r="AA5" s="290" t="e">
        <f>($O5+Y5)*EXP(-($N5+Stoff!$M5*365)*V5)</f>
        <v>#VALUE!</v>
      </c>
      <c r="AB5" s="290" t="e">
        <f>(Stoff!$P5*$O5+Z5)*EXP(-('1a. Spredningsmodell input'!$B$46)*V5)</f>
        <v>#VALUE!</v>
      </c>
      <c r="AC5" s="292" t="e">
        <f>((AA5+AB5)*1000000000)/('1a. Spredningsmodell input'!$B$45*1000)</f>
        <v>#VALUE!</v>
      </c>
      <c r="AD5" s="294" t="e">
        <f>0.001*AC5/('1a. Spredningsmodell input'!$C$25+'1a. Spredningsmodell input'!$C$26/Mellomregninger!$K5)</f>
        <v>#VALUE!</v>
      </c>
      <c r="AE5" s="294" t="e">
        <f>1000*AD5/$K5+AB5*1000000000/('1a. Spredningsmodell input'!$B$45*1000)</f>
        <v>#VALUE!</v>
      </c>
      <c r="AF5" s="294" t="e">
        <f t="shared" si="0"/>
        <v>#VALUE!</v>
      </c>
      <c r="AG5" s="294" t="e">
        <f>AB5*1000000000/('1a. Spredningsmodell input'!$B$45*1000)</f>
        <v>#VALUE!</v>
      </c>
      <c r="AH5" s="300" t="e">
        <f>(1/('1a. Spredningsmodell input'!$B$46))*(LN(($D5*Stoff!$P5/($D5*Stoff!$P5+$P5*Stoff!$P5))*('1a. Spredningsmodell input'!$B$43+'1a. Spredningsmodell input'!$B$46)/('1a. Spredningsmodell input'!$B$46)))</f>
        <v>#VALUE!</v>
      </c>
      <c r="AI5" s="290" t="e">
        <f>($D5-Stoff!$P5*$D5)*EXP(-($F5+Stoff!$L5*365)*AH5)</f>
        <v>#VALUE!</v>
      </c>
      <c r="AJ5" s="291" t="e">
        <f>(Stoff!$P5*$D5)*EXP(-'1a. Spredningsmodell input'!$B$43*AH5)</f>
        <v>#VALUE!</v>
      </c>
      <c r="AK5" s="290" t="e">
        <f>($D5-Stoff!$P5*$D5-AI5)*($F5/($F5+Stoff!$L5*365))</f>
        <v>#VALUE!</v>
      </c>
      <c r="AL5" s="290" t="e">
        <f>(Stoff!$P5*$D5)-AJ5</f>
        <v>#VALUE!</v>
      </c>
      <c r="AM5" s="290" t="e">
        <f>($O5+AK5)*EXP(-($N5+Stoff!$M5*365)*AH5)</f>
        <v>#VALUE!</v>
      </c>
      <c r="AN5" s="290" t="e">
        <f>(Stoff!$P5*$O5+AL5)*EXP(-('1a. Spredningsmodell input'!$B$46)*AH5)</f>
        <v>#VALUE!</v>
      </c>
      <c r="AO5" s="292" t="e">
        <f>((AM5+AN5)*1000000000)/('1a. Spredningsmodell input'!$B$45*1000)</f>
        <v>#VALUE!</v>
      </c>
      <c r="AP5" s="294" t="e">
        <f>0.001*AO5/('1a. Spredningsmodell input'!$C$25+'1a. Spredningsmodell input'!$C$26/Mellomregninger!$K5)</f>
        <v>#VALUE!</v>
      </c>
      <c r="AQ5" s="294" t="e">
        <f>1000*AP5/$K5+AN5*1000000000/('1a. Spredningsmodell input'!$B$45*1000)</f>
        <v>#VALUE!</v>
      </c>
      <c r="AR5" s="294" t="e">
        <f t="shared" si="1"/>
        <v>#VALUE!</v>
      </c>
      <c r="AS5" s="294" t="e">
        <f>AN5*1000000000/('1a. Spredningsmodell input'!$B$45*1000)</f>
        <v>#VALUE!</v>
      </c>
      <c r="AT5" s="295">
        <f t="shared" ref="AT5:AT35" si="14">AT4</f>
        <v>5</v>
      </c>
      <c r="AU5" s="290" t="e">
        <f>($D5-Stoff!$P5*$D5)*EXP(-($F5+Stoff!$L5*365)*AT5)</f>
        <v>#VALUE!</v>
      </c>
      <c r="AV5" s="291" t="e">
        <f>(Stoff!$P5*$D5)*EXP(-'1a. Spredningsmodell input'!$B$43*AT5)</f>
        <v>#VALUE!</v>
      </c>
      <c r="AW5" s="290" t="e">
        <f>($D5-Stoff!$P5*$D5-AU5)*($F5/($F5+Stoff!$L5*365))</f>
        <v>#VALUE!</v>
      </c>
      <c r="AX5" s="290" t="e">
        <f>(Stoff!$P5*$D5)-AV5</f>
        <v>#VALUE!</v>
      </c>
      <c r="AY5" s="290" t="e">
        <f>($O5+AW5)*EXP(-($N5+Stoff!$M5*365)*AT5)</f>
        <v>#VALUE!</v>
      </c>
      <c r="AZ5" s="290" t="e">
        <f>(Stoff!$P5*$O5+AX5)*EXP(-('1a. Spredningsmodell input'!$B$46)*AT5)</f>
        <v>#VALUE!</v>
      </c>
      <c r="BA5" s="292" t="e">
        <f>((AY5+AZ5)*1000000000)/('1a. Spredningsmodell input'!$B$45*1000)</f>
        <v>#VALUE!</v>
      </c>
      <c r="BB5" s="294" t="e">
        <f>0.001*BA5/('1a. Spredningsmodell input'!$C$25+'1a. Spredningsmodell input'!$C$26/Mellomregninger!$K5)</f>
        <v>#VALUE!</v>
      </c>
      <c r="BC5" s="294" t="e">
        <f>1000*BB5/$K5+AZ5*1000000000/('1a. Spredningsmodell input'!$B$45*1000)</f>
        <v>#VALUE!</v>
      </c>
      <c r="BD5" s="294" t="e">
        <f t="shared" si="2"/>
        <v>#VALUE!</v>
      </c>
      <c r="BE5" s="294" t="e">
        <f>AZ5*1000000000/('1a. Spredningsmodell input'!$B$45*1000)</f>
        <v>#VALUE!</v>
      </c>
      <c r="BF5" s="295">
        <f t="shared" ref="BF5:BF35" si="15">BF4</f>
        <v>20</v>
      </c>
      <c r="BG5" s="290" t="e">
        <f>($D5-Stoff!$P5*$D5)*EXP(-($F5+Stoff!$L5*365)*BF5)</f>
        <v>#VALUE!</v>
      </c>
      <c r="BH5" s="291" t="e">
        <f>(Stoff!$P5*$D5)*EXP(-'1a. Spredningsmodell input'!$B$43*BF5)</f>
        <v>#VALUE!</v>
      </c>
      <c r="BI5" s="290" t="e">
        <f>($D5-Stoff!$P5*$D5-BG5)*($F5/($F5+Stoff!$L5*365))</f>
        <v>#VALUE!</v>
      </c>
      <c r="BJ5" s="290" t="e">
        <f>(Stoff!$P5*$D5)-BH5</f>
        <v>#VALUE!</v>
      </c>
      <c r="BK5" s="290" t="e">
        <f>($O5+BI5)*EXP(-($N5+Stoff!$M5*365)*BF5)</f>
        <v>#VALUE!</v>
      </c>
      <c r="BL5" s="290" t="e">
        <f>(Stoff!$P5*$O5+BJ5)*EXP(-('1a. Spredningsmodell input'!$B$46)*BF5)</f>
        <v>#VALUE!</v>
      </c>
      <c r="BM5" s="292" t="e">
        <f>((BK5+BL5)*1000000000)/('1a. Spredningsmodell input'!$B$45*1000)</f>
        <v>#VALUE!</v>
      </c>
      <c r="BN5" s="294" t="e">
        <f>0.001*BM5/('1a. Spredningsmodell input'!$C$25+'1a. Spredningsmodell input'!$C$26/Mellomregninger!$K5)</f>
        <v>#VALUE!</v>
      </c>
      <c r="BO5" s="294" t="e">
        <f>1000*BN5/$K5+BL5*1000000000/('1a. Spredningsmodell input'!$B$45*1000)</f>
        <v>#VALUE!</v>
      </c>
      <c r="BP5" s="294" t="e">
        <f t="shared" si="3"/>
        <v>#VALUE!</v>
      </c>
      <c r="BQ5" s="294" t="e">
        <f>BL5*1000000000/('1a. Spredningsmodell input'!$B$45*1000)</f>
        <v>#VALUE!</v>
      </c>
      <c r="BR5" s="295">
        <f t="shared" ref="BR5:BR35" si="16">BR4</f>
        <v>100</v>
      </c>
      <c r="BS5" s="290" t="e">
        <f>($D5-Stoff!$P5*$D5)*EXP(-($F5+Stoff!$L5*365)*BR5)</f>
        <v>#VALUE!</v>
      </c>
      <c r="BT5" s="291" t="e">
        <f>(Stoff!$P5*$D5)*EXP(-'1a. Spredningsmodell input'!$B$43*BR5)</f>
        <v>#VALUE!</v>
      </c>
      <c r="BU5" s="290" t="e">
        <f>($D5-Stoff!$P5*$D5-BS5)*($F5/($F5+Stoff!$L5*365))</f>
        <v>#VALUE!</v>
      </c>
      <c r="BV5" s="290" t="e">
        <f>(Stoff!$P5*$D5)-BT5</f>
        <v>#VALUE!</v>
      </c>
      <c r="BW5" s="290" t="e">
        <f>($O5+BU5)*EXP(-($N5+Stoff!$M5*365)*BR5)</f>
        <v>#VALUE!</v>
      </c>
      <c r="BX5" s="290" t="e">
        <f>(Stoff!$P5*$O5+BV5)*EXP(-('1a. Spredningsmodell input'!$B$46)*BR5)</f>
        <v>#VALUE!</v>
      </c>
      <c r="BY5" s="292" t="e">
        <f>((BW5+BX5)*1000000000)/('1a. Spredningsmodell input'!$B$45*1000)</f>
        <v>#VALUE!</v>
      </c>
      <c r="BZ5" s="294" t="e">
        <f>0.001*BY5/('1a. Spredningsmodell input'!$C$25+'1a. Spredningsmodell input'!$C$26/Mellomregninger!$K5)</f>
        <v>#VALUE!</v>
      </c>
      <c r="CA5" s="294" t="e">
        <f>1000*BZ5/$K5+BX5*1000000000/('1a. Spredningsmodell input'!$B$45*1000)</f>
        <v>#VALUE!</v>
      </c>
      <c r="CB5" s="294" t="e">
        <f t="shared" si="4"/>
        <v>#VALUE!</v>
      </c>
      <c r="CC5" s="294" t="e">
        <f>BX5*1000000000/('1a. Spredningsmodell input'!$B$45*1000)</f>
        <v>#VALUE!</v>
      </c>
      <c r="CD5" s="294" t="e">
        <f>V5+'1a. Spredningsmodell input'!$C$35</f>
        <v>#VALUE!</v>
      </c>
      <c r="CE5" s="294" t="e">
        <f>($S5+$Q5*($O5+$I5*($D5*(1-Stoff!$P5))*(1-EXP(-($F5+Stoff!$L5*365)*CD5)))*(1-EXP(-($N5+Stoff!$M5*365)*CD5)))</f>
        <v>#VALUE!</v>
      </c>
      <c r="CF5" s="294" t="e">
        <f t="shared" si="5"/>
        <v>#VALUE!</v>
      </c>
      <c r="CG5" s="296" t="e">
        <f>(CF5/1000000)*'1a. Spredningsmodell input'!$B$49*'1a. Spredningsmodell input'!$C$35</f>
        <v>#VALUE!</v>
      </c>
      <c r="CH5" s="294" t="e">
        <f t="shared" ref="CH5:CH67" si="17">AG5</f>
        <v>#VALUE!</v>
      </c>
      <c r="CI5" s="290" t="e">
        <f>(CH5/1000000)*'1a. Spredningsmodell input'!$B$49*'1a. Spredningsmodell input'!$C$35</f>
        <v>#VALUE!</v>
      </c>
      <c r="CJ5" s="297" t="e">
        <f>($S5)*EXP(-(Stoff!$N5*365+$U5)*CD5)+CG5</f>
        <v>#VALUE!</v>
      </c>
      <c r="CK5" s="297" t="e">
        <f>(Stoff!$P5*$S5+CI5)*EXP(-$T5*CD5)</f>
        <v>#VALUE!</v>
      </c>
      <c r="CL5" s="297" t="e">
        <f>(CJ5+CK5)*1000000000/('1a. Spredningsmodell input'!$C$36*1000)</f>
        <v>#VALUE!</v>
      </c>
      <c r="CM5" s="297" t="e">
        <f>$G5*(1-EXP(-'1a. Spredningsmodell input'!$B$43*Mellomregninger!CD5))*(1-EXP(-'1a. Spredningsmodell input'!$B$46*Mellomregninger!CD5))</f>
        <v>#VALUE!</v>
      </c>
      <c r="CN5" s="297"/>
      <c r="CO5" s="297"/>
      <c r="CP5" s="290">
        <f>IF(ISNUMBER(AH5),AH5+'1a. Spredningsmodell input'!$C$35,'1a. Spredningsmodell input'!$C$35)</f>
        <v>1</v>
      </c>
      <c r="CQ5" s="294" t="e">
        <f>($S5+$Q5*($O5+$I5*($D5*(1-Stoff!$P5))*(1-EXP(-($F5+Stoff!$L5*365)*CP5)))*(1-EXP(-($N5+Stoff!$M5*365)*CP5)))</f>
        <v>#VALUE!</v>
      </c>
      <c r="CR5" s="294" t="e">
        <f t="shared" si="6"/>
        <v>#VALUE!</v>
      </c>
      <c r="CS5" s="296" t="e">
        <f>(CR5/1000000)*('1a. Spredningsmodell input'!$B$49*'1a. Spredningsmodell input'!$C$35)</f>
        <v>#VALUE!</v>
      </c>
      <c r="CT5" s="294" t="e">
        <f t="shared" si="7"/>
        <v>#VALUE!</v>
      </c>
      <c r="CU5" s="290" t="e">
        <f>(CT5/1000000)*('1a. Spredningsmodell input'!$B$49)*'1a. Spredningsmodell input'!$C$35</f>
        <v>#VALUE!</v>
      </c>
      <c r="CV5" s="297" t="e">
        <f>($S5)*EXP(-(Stoff!$N5*365+$U5)*CP5)+CS5</f>
        <v>#VALUE!</v>
      </c>
      <c r="CW5" s="297" t="e">
        <f>(Stoff!$P5*$S5+CU5)*EXP(-$T5*CP5)</f>
        <v>#VALUE!</v>
      </c>
      <c r="CX5" s="297">
        <f>IF(ISERROR(CV5),0,(CV5+CW5)*1000000000/('1a. Spredningsmodell input'!$C$36*1000))</f>
        <v>0</v>
      </c>
      <c r="CY5" s="297" t="e">
        <f>$G5*(1-EXP(-'1a. Spredningsmodell input'!$B$43*Mellomregninger!CP5))*(1-EXP(-'1a. Spredningsmodell input'!$B$46*Mellomregninger!CP5))</f>
        <v>#VALUE!</v>
      </c>
      <c r="CZ5" s="297"/>
      <c r="DA5" s="297"/>
      <c r="DB5" s="262">
        <f t="shared" ref="DB5:DB35" si="18">DB4</f>
        <v>5</v>
      </c>
      <c r="DC5" s="298" t="e">
        <f>($S5+$Q5*($O5+$I5*($D5*(1-Stoff!$P5))*(1-EXP(-($F5+Stoff!$L5*365)*DB5)))*(1-EXP(-($N5+Stoff!$M5*365)*DB5)))</f>
        <v>#VALUE!</v>
      </c>
      <c r="DD5" s="294" t="e">
        <f t="shared" si="8"/>
        <v>#VALUE!</v>
      </c>
      <c r="DE5" s="296" t="e">
        <f>(DD5/1000000)*('1a. Spredningsmodell input'!$B$49)*'1a. Spredningsmodell input'!$C$35</f>
        <v>#VALUE!</v>
      </c>
      <c r="DF5" s="294" t="e">
        <f t="shared" ref="DF5:DF67" si="19">BE5</f>
        <v>#VALUE!</v>
      </c>
      <c r="DG5" s="290" t="e">
        <f>(DF5/1000000)*('1a. Spredningsmodell input'!$B$49)*'1a. Spredningsmodell input'!$C$35</f>
        <v>#VALUE!</v>
      </c>
      <c r="DH5" s="297" t="e">
        <f>($S5)*EXP(-(Stoff!$N5*365+$U5)*DB5)+DE5</f>
        <v>#VALUE!</v>
      </c>
      <c r="DI5" s="297" t="e">
        <f>(Stoff!$P5*$S5+DG5)*EXP(-$T5*DB5)</f>
        <v>#VALUE!</v>
      </c>
      <c r="DJ5" s="297" t="e">
        <f>(DH5+DI5)*1000000000/('1a. Spredningsmodell input'!$C$36*1000)</f>
        <v>#VALUE!</v>
      </c>
      <c r="DK5" s="297" t="e">
        <f>$G5*(1-EXP(-'1a. Spredningsmodell input'!$B$43*Mellomregninger!DB5))*(1-EXP(-'1a. Spredningsmodell input'!$B$46*Mellomregninger!DB5))</f>
        <v>#VALUE!</v>
      </c>
      <c r="DL5" s="297"/>
      <c r="DM5" s="297"/>
      <c r="DN5" s="262">
        <f t="shared" ref="DN5:DN35" si="20">DN4</f>
        <v>20</v>
      </c>
      <c r="DO5" s="298" t="e">
        <f>($S5+$Q5*($O5+$I5*($D5*(1-Stoff!$P5))*(1-EXP(-($F5+Stoff!$L5*365)*DN5)))*(1-EXP(-($N5+Stoff!$M5*365)*DN5)))</f>
        <v>#VALUE!</v>
      </c>
      <c r="DP5" s="294" t="e">
        <f t="shared" ref="DP5:DP67" si="21">BP5</f>
        <v>#VALUE!</v>
      </c>
      <c r="DQ5" s="296" t="e">
        <f>(DP5/1000000)*('1a. Spredningsmodell input'!$B$49)*'1a. Spredningsmodell input'!$C$35</f>
        <v>#VALUE!</v>
      </c>
      <c r="DR5" s="294" t="e">
        <f t="shared" si="9"/>
        <v>#VALUE!</v>
      </c>
      <c r="DS5" s="290" t="e">
        <f>(DR5/1000000)*('1a. Spredningsmodell input'!$B$49)*'1a. Spredningsmodell input'!$C$35</f>
        <v>#VALUE!</v>
      </c>
      <c r="DT5" s="297" t="e">
        <f>($S5)*EXP(-(Stoff!$N5*365+$U5)*DN5)+DQ5</f>
        <v>#VALUE!</v>
      </c>
      <c r="DU5" s="297" t="e">
        <f>(Stoff!$P5*$S5+DS5)*EXP(-$T5*DN5)</f>
        <v>#VALUE!</v>
      </c>
      <c r="DV5" s="297" t="e">
        <f>(DT5+DU5)*1000000000/('1a. Spredningsmodell input'!$C$36*1000)</f>
        <v>#VALUE!</v>
      </c>
      <c r="DW5" s="297" t="e">
        <f>$G5*(1-EXP(-'1a. Spredningsmodell input'!$B$43*Mellomregninger!DN5))*(1-EXP(-'1a. Spredningsmodell input'!$B$46*Mellomregninger!DN5))</f>
        <v>#VALUE!</v>
      </c>
      <c r="DX5" s="297"/>
      <c r="DY5" s="297"/>
      <c r="DZ5" s="262">
        <f t="shared" ref="DZ5:DZ35" si="22">DZ4</f>
        <v>100</v>
      </c>
      <c r="EA5" s="298" t="e">
        <f>($S5+$Q5*($O5+$I5*($D5*(1-Stoff!$P5))*(1-EXP(-($F5+Stoff!$L5*365)*DZ5)))*(1-EXP(-($N5+Stoff!$M5*365)*DZ5)))</f>
        <v>#VALUE!</v>
      </c>
      <c r="EB5" s="294" t="e">
        <f t="shared" si="10"/>
        <v>#VALUE!</v>
      </c>
      <c r="EC5" s="296" t="e">
        <f>(EB5/1000000)*('1a. Spredningsmodell input'!$B$49)*'1a. Spredningsmodell input'!$C$35</f>
        <v>#VALUE!</v>
      </c>
      <c r="ED5" s="294" t="e">
        <f t="shared" si="11"/>
        <v>#VALUE!</v>
      </c>
      <c r="EE5" s="290" t="e">
        <f>(ED5/1000000)*('1a. Spredningsmodell input'!$B$49)*'1a. Spredningsmodell input'!$C$35</f>
        <v>#VALUE!</v>
      </c>
      <c r="EF5" s="297" t="e">
        <f>($S5)*EXP(-(Stoff!$N5*365+$U5)*DZ5)+EC5</f>
        <v>#VALUE!</v>
      </c>
      <c r="EG5" s="297" t="e">
        <f>(Stoff!$P5*$S5+EE5)*EXP(-$T5*DZ5)</f>
        <v>#VALUE!</v>
      </c>
      <c r="EH5" s="297" t="e">
        <f>(EF5+EG5)*1000000000/('1a. Spredningsmodell input'!$C$36*1000)</f>
        <v>#VALUE!</v>
      </c>
      <c r="EI5" s="297" t="e">
        <f>$G5*(1-EXP(-'1a. Spredningsmodell input'!$B$43*Mellomregninger!DZ5))*(1-EXP(-'1a. Spredningsmodell input'!$B$46*Mellomregninger!DZ5))</f>
        <v>#VALUE!</v>
      </c>
      <c r="EJ5" s="297"/>
      <c r="EK5" s="297"/>
      <c r="EL5" s="262">
        <f t="shared" ref="EL5:EL35" si="23">EL4</f>
        <v>1.0000000000000001E+25</v>
      </c>
      <c r="EM5" s="294" t="e">
        <f>($S5+$Q5*($O5+$I5*($D5*(1-Stoff!$P5))*(1-EXP(-($F5+Stoff!$L5*365)*EL5)))*(1-EXP(-($N5+Stoff!$M5*365)*EL5)))</f>
        <v>#VALUE!</v>
      </c>
      <c r="EN5" s="296" t="e">
        <f>($S5+$Q5*($O5+$I5*($D5*(1-Stoff!$P5))*(1-EXP(-($F5+Stoff!$L5*365)*(EL5-'1a. Spredningsmodell input'!$C$35))))*(1-EXP(-($N5+Stoff!$M5*365)*(EL5-'1a. Spredningsmodell input'!$C$35))))</f>
        <v>#VALUE!</v>
      </c>
      <c r="EO5" s="294" t="e">
        <f>IF(EL5&lt;'1a. Spredningsmodell input'!$C$35,EM5-($S5)*EXP(-(Stoff!$N5*365+$U5)*EL5),EM5-EN5)</f>
        <v>#VALUE!</v>
      </c>
      <c r="EP5" s="290" t="e">
        <f>((($D5*(Stoff!$P5))*(1-EXP(-'1a. Spredningsmodell input'!$B$43*EL5)))*(1-EXP(-'1a. Spredningsmodell input'!$B$46*EL5)))</f>
        <v>#VALUE!</v>
      </c>
      <c r="EQ5" s="294" t="e">
        <f>((($D5*(Stoff!$P5))*(1-EXP(-'1a. Spredningsmodell input'!$B$43*(EL5-'1a. Spredningsmodell input'!$C$35))))*(1-EXP(-'1a. Spredningsmodell input'!$B$46*(EL5-'1a. Spredningsmodell input'!$C$35))))</f>
        <v>#VALUE!</v>
      </c>
      <c r="ER5" s="290" t="e">
        <f>IF(EL5&lt;'1a. Spredningsmodell input'!$C$35,0,EP5-EQ5)</f>
        <v>#VALUE!</v>
      </c>
      <c r="ES5" s="297" t="e">
        <f>($S5)*EXP(-(Stoff!$N5*365+$U5)*EL5)+EO5</f>
        <v>#VALUE!</v>
      </c>
      <c r="ET5" s="297" t="e">
        <f>(Stoff!$P5*$S5+ER5)*EXP(-$T5*EL5)</f>
        <v>#VALUE!</v>
      </c>
      <c r="EU5" s="297" t="e">
        <f>(ES5+ET5)*1000000000/('1a. Spredningsmodell input'!$C$36*1000)</f>
        <v>#VALUE!</v>
      </c>
      <c r="EV5" s="262" t="e">
        <f t="shared" si="12"/>
        <v>#VALUE!</v>
      </c>
      <c r="EW5" s="299" t="e">
        <f t="shared" si="13"/>
        <v>#VALUE!</v>
      </c>
      <c r="EX5" s="262" t="e">
        <f t="shared" ref="EX5:EX36" si="24">IF(CL5=EV5,CE5+S5,CQ5+S5)</f>
        <v>#VALUE!</v>
      </c>
    </row>
    <row r="6" spans="1:154" x14ac:dyDescent="0.35">
      <c r="A6" s="50" t="s">
        <v>205</v>
      </c>
      <c r="B6" s="34" t="str">
        <f>IF(ISNUMBER('1c. Kons. porevann'!E6),1000*'1c. Kons. porevann'!E6,IF(ISNUMBER('1b. Kons. umettet jord'!E6),1000*'1b. Kons. umettet jord'!E6/C6,""))</f>
        <v/>
      </c>
      <c r="C6" s="244">
        <f>IF(Stoff!B6="uorganisk",Stoff!C6,Stoff!D6*'1a. Spredningsmodell input'!$C$11)</f>
        <v>130000</v>
      </c>
      <c r="D6" s="34" t="str">
        <f>IF(ISNUMBER(B6),0.000001*('1b. Kons. umettet jord'!G6*'1a. Spredningsmodell input'!$C$12+B6*0.001*'1a. Spredningsmodell input'!$C$14)*1000*'1a. Spredningsmodell input'!$B$41*'1a. Spredningsmodell input'!$C$18,"")</f>
        <v/>
      </c>
      <c r="E6" s="283">
        <f>C6*'1a. Spredningsmodell input'!$C$12/'1a. Spredningsmodell input'!$C$14+1</f>
        <v>1105001</v>
      </c>
      <c r="F6" s="284">
        <f>'1a. Spredningsmodell input'!$B$43/E6</f>
        <v>1.3574648348734524E-6</v>
      </c>
      <c r="G6" s="34" t="e">
        <f>Stoff!P6*Mellomregninger!D6</f>
        <v>#VALUE!</v>
      </c>
      <c r="H6" s="283" t="e">
        <f>(D6-G6)*(F6/(F6+Stoff!L6))</f>
        <v>#VALUE!</v>
      </c>
      <c r="I6" s="283">
        <f>F6/(F6+Stoff!L6)</f>
        <v>1</v>
      </c>
      <c r="J6" s="285" t="str">
        <f>IF(B6="","",IF(ISNUMBER('1d. Kons. mettet sone'!E6),'1d. Kons. mettet sone'!E6,IF(ISNUMBER('1e. Kons. grunnvann'!E6),'1e. Kons. grunnvann'!E6*Mellomregninger!K6,0)))</f>
        <v/>
      </c>
      <c r="K6" s="286">
        <f>IF(Stoff!B6="uorganisk",Stoff!C6,Stoff!D6*'1a. Spredningsmodell input'!$C$24)</f>
        <v>130000</v>
      </c>
      <c r="L6" s="27" t="e">
        <f>IF(ISNUMBER('1e. Kons. grunnvann'!E6),1000*'1e. Kons. grunnvann'!E6,1000*J6/K6)</f>
        <v>#VALUE!</v>
      </c>
      <c r="M6" s="34">
        <f>K6*'1a. Spredningsmodell input'!$C$25/'1a. Spredningsmodell input'!$C$26+1</f>
        <v>552501</v>
      </c>
      <c r="N6" s="284">
        <f>'1a. Spredningsmodell input'!$C$26/M6</f>
        <v>7.2398059008038001E-7</v>
      </c>
      <c r="O6" s="287" t="e">
        <f>0.000000001*(J6*'1a. Spredningsmodell input'!$C$25+L6)*1000*'1a. Spredningsmodell input'!$B$45</f>
        <v>#VALUE!</v>
      </c>
      <c r="P6" s="287" t="e">
        <f>O6*Stoff!P6</f>
        <v>#VALUE!</v>
      </c>
      <c r="Q6" s="287">
        <f>N6/(N6+Stoff!M6)</f>
        <v>1</v>
      </c>
      <c r="R6" s="288">
        <f>IF(ISNUMBER('1f. Kons. resipient'!E6),'1f. Kons. resipient'!E6,0)</f>
        <v>0</v>
      </c>
      <c r="S6" s="288">
        <f>0.000000001*'1a. Spredningsmodell input'!$C$36*R6*1000</f>
        <v>0</v>
      </c>
      <c r="T6" s="288">
        <f>1/'1a. Spredningsmodell input'!$C$35</f>
        <v>1</v>
      </c>
      <c r="U6" s="288">
        <f>1/'1a. Spredningsmodell input'!$C$35</f>
        <v>1</v>
      </c>
      <c r="V6" s="300" t="e">
        <f>(1/($N6+Stoff!$L6))*(LN(($D6*$I6/($D6*$I6+$J6))*($F6+Stoff!$L6+$N6+Stoff!$M6)/($N6+Stoff!$M6)))</f>
        <v>#VALUE!</v>
      </c>
      <c r="W6" s="290" t="e">
        <f>($D6-Stoff!$P6*$D6)*EXP(-($F6+Stoff!$L6*365)*V6)</f>
        <v>#VALUE!</v>
      </c>
      <c r="X6" s="291" t="e">
        <f>(Stoff!$P6*$D6)*EXP(-'1a. Spredningsmodell input'!$B$43*V6)</f>
        <v>#VALUE!</v>
      </c>
      <c r="Y6" s="290" t="e">
        <f>($D6-Stoff!$P6*$D6-W6)*($F6/($F6+Stoff!$L6*365))</f>
        <v>#VALUE!</v>
      </c>
      <c r="Z6" s="290" t="e">
        <f>(Stoff!$P6*$D6)-X6</f>
        <v>#VALUE!</v>
      </c>
      <c r="AA6" s="290" t="e">
        <f>($O6+Y6)*EXP(-($N6+Stoff!$M6*365)*V6)</f>
        <v>#VALUE!</v>
      </c>
      <c r="AB6" s="290" t="e">
        <f>(Stoff!$P6*$O6+Z6)*EXP(-('1a. Spredningsmodell input'!$B$46)*V6)</f>
        <v>#VALUE!</v>
      </c>
      <c r="AC6" s="292" t="e">
        <f>((AA6+AB6)*1000000000)/('1a. Spredningsmodell input'!$B$45*1000)</f>
        <v>#VALUE!</v>
      </c>
      <c r="AD6" s="294" t="e">
        <f>0.001*AC6/('1a. Spredningsmodell input'!$C$25+'1a. Spredningsmodell input'!$C$26/Mellomregninger!$K6)</f>
        <v>#VALUE!</v>
      </c>
      <c r="AE6" s="294" t="e">
        <f>1000*AD6/$K6+AB6*1000000000/('1a. Spredningsmodell input'!$B$45*1000)</f>
        <v>#VALUE!</v>
      </c>
      <c r="AF6" s="294" t="e">
        <f t="shared" si="0"/>
        <v>#VALUE!</v>
      </c>
      <c r="AG6" s="294" t="e">
        <f>AB6*1000000000/('1a. Spredningsmodell input'!$B$45*1000)</f>
        <v>#VALUE!</v>
      </c>
      <c r="AH6" s="300" t="e">
        <f>(1/('1a. Spredningsmodell input'!$B$46))*(LN(($D6*Stoff!$P6/($D6*Stoff!$P6+$P6*Stoff!$P6))*('1a. Spredningsmodell input'!$B$43+'1a. Spredningsmodell input'!$B$46)/('1a. Spredningsmodell input'!$B$46)))</f>
        <v>#VALUE!</v>
      </c>
      <c r="AI6" s="290" t="e">
        <f>($D6-Stoff!$P6*$D6)*EXP(-($F6+Stoff!$L6*365)*AH6)</f>
        <v>#VALUE!</v>
      </c>
      <c r="AJ6" s="291" t="e">
        <f>(Stoff!$P6*$D6)*EXP(-'1a. Spredningsmodell input'!$B$43*AH6)</f>
        <v>#VALUE!</v>
      </c>
      <c r="AK6" s="290" t="e">
        <f>($D6-Stoff!$P6*$D6-AI6)*($F6/($F6+Stoff!$L6*365))</f>
        <v>#VALUE!</v>
      </c>
      <c r="AL6" s="290" t="e">
        <f>(Stoff!$P6*$D6)-AJ6</f>
        <v>#VALUE!</v>
      </c>
      <c r="AM6" s="290" t="e">
        <f>($O6+AK6)*EXP(-($N6+Stoff!$M6*365)*AH6)</f>
        <v>#VALUE!</v>
      </c>
      <c r="AN6" s="290" t="e">
        <f>(Stoff!$P6*$O6+AL6)*EXP(-('1a. Spredningsmodell input'!$B$46)*AH6)</f>
        <v>#VALUE!</v>
      </c>
      <c r="AO6" s="292" t="e">
        <f>((AM6+AN6)*1000000000)/('1a. Spredningsmodell input'!$B$45*1000)</f>
        <v>#VALUE!</v>
      </c>
      <c r="AP6" s="294" t="e">
        <f>0.001*AO6/('1a. Spredningsmodell input'!$C$25+'1a. Spredningsmodell input'!$C$26/Mellomregninger!$K6)</f>
        <v>#VALUE!</v>
      </c>
      <c r="AQ6" s="294" t="e">
        <f>1000*AP6/$K6+AN6*1000000000/('1a. Spredningsmodell input'!$B$45*1000)</f>
        <v>#VALUE!</v>
      </c>
      <c r="AR6" s="294" t="e">
        <f t="shared" si="1"/>
        <v>#VALUE!</v>
      </c>
      <c r="AS6" s="294" t="e">
        <f>AN6*1000000000/('1a. Spredningsmodell input'!$B$45*1000)</f>
        <v>#VALUE!</v>
      </c>
      <c r="AT6" s="295">
        <f t="shared" si="14"/>
        <v>5</v>
      </c>
      <c r="AU6" s="290" t="e">
        <f>($D6-Stoff!$P6*$D6)*EXP(-($F6+Stoff!$L6*365)*AT6)</f>
        <v>#VALUE!</v>
      </c>
      <c r="AV6" s="291" t="e">
        <f>(Stoff!$P6*$D6)*EXP(-'1a. Spredningsmodell input'!$B$43*AT6)</f>
        <v>#VALUE!</v>
      </c>
      <c r="AW6" s="290" t="e">
        <f>($D6-Stoff!$P6*$D6-AU6)*($F6/($F6+Stoff!$L6*365))</f>
        <v>#VALUE!</v>
      </c>
      <c r="AX6" s="290" t="e">
        <f>(Stoff!$P6*$D6)-AV6</f>
        <v>#VALUE!</v>
      </c>
      <c r="AY6" s="290" t="e">
        <f>($O6+AW6)*EXP(-($N6+Stoff!$M6*365)*AT6)</f>
        <v>#VALUE!</v>
      </c>
      <c r="AZ6" s="290" t="e">
        <f>(Stoff!$P6*$O6+AX6)*EXP(-('1a. Spredningsmodell input'!$B$46)*AT6)</f>
        <v>#VALUE!</v>
      </c>
      <c r="BA6" s="292" t="e">
        <f>((AY6+AZ6)*1000000000)/('1a. Spredningsmodell input'!$B$45*1000)</f>
        <v>#VALUE!</v>
      </c>
      <c r="BB6" s="294" t="e">
        <f>0.001*BA6/('1a. Spredningsmodell input'!$C$25+'1a. Spredningsmodell input'!$C$26/Mellomregninger!$K6)</f>
        <v>#VALUE!</v>
      </c>
      <c r="BC6" s="294" t="e">
        <f>1000*BB6/$K6+AZ6*1000000000/('1a. Spredningsmodell input'!$B$45*1000)</f>
        <v>#VALUE!</v>
      </c>
      <c r="BD6" s="294" t="e">
        <f t="shared" si="2"/>
        <v>#VALUE!</v>
      </c>
      <c r="BE6" s="294" t="e">
        <f>AZ6*1000000000/('1a. Spredningsmodell input'!$B$45*1000)</f>
        <v>#VALUE!</v>
      </c>
      <c r="BF6" s="295">
        <f t="shared" si="15"/>
        <v>20</v>
      </c>
      <c r="BG6" s="290" t="e">
        <f>($D6-Stoff!$P6*$D6)*EXP(-($F6+Stoff!$L6*365)*BF6)</f>
        <v>#VALUE!</v>
      </c>
      <c r="BH6" s="291" t="e">
        <f>(Stoff!$P6*$D6)*EXP(-'1a. Spredningsmodell input'!$B$43*BF6)</f>
        <v>#VALUE!</v>
      </c>
      <c r="BI6" s="290" t="e">
        <f>($D6-Stoff!$P6*$D6-BG6)*($F6/($F6+Stoff!$L6*365))</f>
        <v>#VALUE!</v>
      </c>
      <c r="BJ6" s="290" t="e">
        <f>(Stoff!$P6*$D6)-BH6</f>
        <v>#VALUE!</v>
      </c>
      <c r="BK6" s="290" t="e">
        <f>($O6+BI6)*EXP(-($N6+Stoff!$M6*365)*BF6)</f>
        <v>#VALUE!</v>
      </c>
      <c r="BL6" s="290" t="e">
        <f>(Stoff!$P6*$O6+BJ6)*EXP(-('1a. Spredningsmodell input'!$B$46)*BF6)</f>
        <v>#VALUE!</v>
      </c>
      <c r="BM6" s="292" t="e">
        <f>((BK6+BL6)*1000000000)/('1a. Spredningsmodell input'!$B$45*1000)</f>
        <v>#VALUE!</v>
      </c>
      <c r="BN6" s="294" t="e">
        <f>0.001*BM6/('1a. Spredningsmodell input'!$C$25+'1a. Spredningsmodell input'!$C$26/Mellomregninger!$K6)</f>
        <v>#VALUE!</v>
      </c>
      <c r="BO6" s="294" t="e">
        <f>1000*BN6/$K6+BL6*1000000000/('1a. Spredningsmodell input'!$B$45*1000)</f>
        <v>#VALUE!</v>
      </c>
      <c r="BP6" s="294" t="e">
        <f t="shared" si="3"/>
        <v>#VALUE!</v>
      </c>
      <c r="BQ6" s="294" t="e">
        <f>BL6*1000000000/('1a. Spredningsmodell input'!$B$45*1000)</f>
        <v>#VALUE!</v>
      </c>
      <c r="BR6" s="295">
        <f t="shared" si="16"/>
        <v>100</v>
      </c>
      <c r="BS6" s="290" t="e">
        <f>($D6-Stoff!$P6*$D6)*EXP(-($F6+Stoff!$L6*365)*BR6)</f>
        <v>#VALUE!</v>
      </c>
      <c r="BT6" s="291" t="e">
        <f>(Stoff!$P6*$D6)*EXP(-'1a. Spredningsmodell input'!$B$43*BR6)</f>
        <v>#VALUE!</v>
      </c>
      <c r="BU6" s="290" t="e">
        <f>($D6-Stoff!$P6*$D6-BS6)*($F6/($F6+Stoff!$L6*365))</f>
        <v>#VALUE!</v>
      </c>
      <c r="BV6" s="290" t="e">
        <f>(Stoff!$P6*$D6)-BT6</f>
        <v>#VALUE!</v>
      </c>
      <c r="BW6" s="290" t="e">
        <f>($O6+BU6)*EXP(-($N6+Stoff!$M6*365)*BR6)</f>
        <v>#VALUE!</v>
      </c>
      <c r="BX6" s="290" t="e">
        <f>(Stoff!$P6*$O6+BV6)*EXP(-('1a. Spredningsmodell input'!$B$46)*BR6)</f>
        <v>#VALUE!</v>
      </c>
      <c r="BY6" s="292" t="e">
        <f>((BW6+BX6)*1000000000)/('1a. Spredningsmodell input'!$B$45*1000)</f>
        <v>#VALUE!</v>
      </c>
      <c r="BZ6" s="294" t="e">
        <f>0.001*BY6/('1a. Spredningsmodell input'!$C$25+'1a. Spredningsmodell input'!$C$26/Mellomregninger!$K6)</f>
        <v>#VALUE!</v>
      </c>
      <c r="CA6" s="294" t="e">
        <f>1000*BZ6/$K6+BX6*1000000000/('1a. Spredningsmodell input'!$B$45*1000)</f>
        <v>#VALUE!</v>
      </c>
      <c r="CB6" s="294" t="e">
        <f t="shared" si="4"/>
        <v>#VALUE!</v>
      </c>
      <c r="CC6" s="294" t="e">
        <f>BX6*1000000000/('1a. Spredningsmodell input'!$B$45*1000)</f>
        <v>#VALUE!</v>
      </c>
      <c r="CD6" s="294" t="e">
        <f>V6+'1a. Spredningsmodell input'!$C$35</f>
        <v>#VALUE!</v>
      </c>
      <c r="CE6" s="294" t="e">
        <f>($S6+$Q6*($O6+$I6*($D6*(1-Stoff!$P6))*(1-EXP(-($F6+Stoff!$L6*365)*CD6)))*(1-EXP(-($N6+Stoff!$M6*365)*CD6)))</f>
        <v>#VALUE!</v>
      </c>
      <c r="CF6" s="294" t="e">
        <f t="shared" si="5"/>
        <v>#VALUE!</v>
      </c>
      <c r="CG6" s="296" t="e">
        <f>(CF6/1000000)*'1a. Spredningsmodell input'!$B$49*'1a. Spredningsmodell input'!$C$35</f>
        <v>#VALUE!</v>
      </c>
      <c r="CH6" s="294" t="e">
        <f t="shared" si="17"/>
        <v>#VALUE!</v>
      </c>
      <c r="CI6" s="290" t="e">
        <f>(CH6/1000000)*'1a. Spredningsmodell input'!$B$49*'1a. Spredningsmodell input'!$C$35</f>
        <v>#VALUE!</v>
      </c>
      <c r="CJ6" s="297" t="e">
        <f>($S6)*EXP(-(Stoff!$N6*365+$U6)*CD6)+CG6</f>
        <v>#VALUE!</v>
      </c>
      <c r="CK6" s="297" t="e">
        <f>(Stoff!$P6*$S6+CI6)*EXP(-$T6*CD6)</f>
        <v>#VALUE!</v>
      </c>
      <c r="CL6" s="297" t="e">
        <f>(CJ6+CK6)*1000000000/('1a. Spredningsmodell input'!$C$36*1000)</f>
        <v>#VALUE!</v>
      </c>
      <c r="CM6" s="297" t="e">
        <f>$G6*(1-EXP(-'1a. Spredningsmodell input'!$B$43*Mellomregninger!CD6))*(1-EXP(-'1a. Spredningsmodell input'!$B$46*Mellomregninger!CD6))</f>
        <v>#VALUE!</v>
      </c>
      <c r="CN6" s="297"/>
      <c r="CO6" s="297"/>
      <c r="CP6" s="290">
        <f>IF(ISNUMBER(AH6),AH6+'1a. Spredningsmodell input'!$C$35,'1a. Spredningsmodell input'!$C$35)</f>
        <v>1</v>
      </c>
      <c r="CQ6" s="294" t="e">
        <f>($S6+$Q6*($O6+$I6*($D6*(1-Stoff!$P6))*(1-EXP(-($F6+Stoff!$L6*365)*CP6)))*(1-EXP(-($N6+Stoff!$M6*365)*CP6)))</f>
        <v>#VALUE!</v>
      </c>
      <c r="CR6" s="294" t="e">
        <f t="shared" si="6"/>
        <v>#VALUE!</v>
      </c>
      <c r="CS6" s="296" t="e">
        <f>(CR6/1000000)*('1a. Spredningsmodell input'!$B$49*'1a. Spredningsmodell input'!$C$35)</f>
        <v>#VALUE!</v>
      </c>
      <c r="CT6" s="294" t="e">
        <f t="shared" si="7"/>
        <v>#VALUE!</v>
      </c>
      <c r="CU6" s="290" t="e">
        <f>(CT6/1000000)*('1a. Spredningsmodell input'!$B$49)*'1a. Spredningsmodell input'!$C$35</f>
        <v>#VALUE!</v>
      </c>
      <c r="CV6" s="297" t="e">
        <f>($S6)*EXP(-(Stoff!$N6*365+$U6)*CP6)+CS6</f>
        <v>#VALUE!</v>
      </c>
      <c r="CW6" s="297" t="e">
        <f>(Stoff!$P6*$S6+CU6)*EXP(-$T6*CP6)</f>
        <v>#VALUE!</v>
      </c>
      <c r="CX6" s="297">
        <f>IF(ISERROR(CV6),0,(CV6+CW6)*1000000000/('1a. Spredningsmodell input'!$C$36*1000))</f>
        <v>0</v>
      </c>
      <c r="CY6" s="297" t="e">
        <f>$G6*(1-EXP(-'1a. Spredningsmodell input'!$B$43*Mellomregninger!CP6))*(1-EXP(-'1a. Spredningsmodell input'!$B$46*Mellomregninger!CP6))</f>
        <v>#VALUE!</v>
      </c>
      <c r="CZ6" s="297"/>
      <c r="DA6" s="297"/>
      <c r="DB6" s="262">
        <f t="shared" si="18"/>
        <v>5</v>
      </c>
      <c r="DC6" s="298" t="e">
        <f>($S6+$Q6*($O6+$I6*($D6*(1-Stoff!$P6))*(1-EXP(-($F6+Stoff!$L6*365)*DB6)))*(1-EXP(-($N6+Stoff!$M6*365)*DB6)))</f>
        <v>#VALUE!</v>
      </c>
      <c r="DD6" s="294" t="e">
        <f t="shared" si="8"/>
        <v>#VALUE!</v>
      </c>
      <c r="DE6" s="296" t="e">
        <f>(DD6/1000000)*('1a. Spredningsmodell input'!$B$49)*'1a. Spredningsmodell input'!$C$35</f>
        <v>#VALUE!</v>
      </c>
      <c r="DF6" s="294" t="e">
        <f t="shared" si="19"/>
        <v>#VALUE!</v>
      </c>
      <c r="DG6" s="290" t="e">
        <f>(DF6/1000000)*('1a. Spredningsmodell input'!$B$49)*'1a. Spredningsmodell input'!$C$35</f>
        <v>#VALUE!</v>
      </c>
      <c r="DH6" s="297" t="e">
        <f>($S6)*EXP(-(Stoff!$N6*365+$U6)*DB6)+DE6</f>
        <v>#VALUE!</v>
      </c>
      <c r="DI6" s="297" t="e">
        <f>(Stoff!$P6*$S6+DG6)*EXP(-$T6*DB6)</f>
        <v>#VALUE!</v>
      </c>
      <c r="DJ6" s="297" t="e">
        <f>(DH6+DI6)*1000000000/('1a. Spredningsmodell input'!$C$36*1000)</f>
        <v>#VALUE!</v>
      </c>
      <c r="DK6" s="297" t="e">
        <f>$G6*(1-EXP(-'1a. Spredningsmodell input'!$B$43*Mellomregninger!DB6))*(1-EXP(-'1a. Spredningsmodell input'!$B$46*Mellomregninger!DB6))</f>
        <v>#VALUE!</v>
      </c>
      <c r="DL6" s="297"/>
      <c r="DM6" s="297"/>
      <c r="DN6" s="262">
        <f t="shared" si="20"/>
        <v>20</v>
      </c>
      <c r="DO6" s="298" t="e">
        <f>($S6+$Q6*($O6+$I6*($D6*(1-Stoff!$P6))*(1-EXP(-($F6+Stoff!$L6*365)*DN6)))*(1-EXP(-($N6+Stoff!$M6*365)*DN6)))</f>
        <v>#VALUE!</v>
      </c>
      <c r="DP6" s="294" t="e">
        <f t="shared" si="21"/>
        <v>#VALUE!</v>
      </c>
      <c r="DQ6" s="296" t="e">
        <f>(DP6/1000000)*('1a. Spredningsmodell input'!$B$49)*'1a. Spredningsmodell input'!$C$35</f>
        <v>#VALUE!</v>
      </c>
      <c r="DR6" s="294" t="e">
        <f t="shared" si="9"/>
        <v>#VALUE!</v>
      </c>
      <c r="DS6" s="290" t="e">
        <f>(DR6/1000000)*('1a. Spredningsmodell input'!$B$49)*'1a. Spredningsmodell input'!$C$35</f>
        <v>#VALUE!</v>
      </c>
      <c r="DT6" s="297" t="e">
        <f>($S6)*EXP(-(Stoff!$N6*365+$U6)*DN6)+DQ6</f>
        <v>#VALUE!</v>
      </c>
      <c r="DU6" s="297" t="e">
        <f>(Stoff!$P6*$S6+DS6)*EXP(-$T6*DN6)</f>
        <v>#VALUE!</v>
      </c>
      <c r="DV6" s="297" t="e">
        <f>(DT6+DU6)*1000000000/('1a. Spredningsmodell input'!$C$36*1000)</f>
        <v>#VALUE!</v>
      </c>
      <c r="DW6" s="297" t="e">
        <f>$G6*(1-EXP(-'1a. Spredningsmodell input'!$B$43*Mellomregninger!DN6))*(1-EXP(-'1a. Spredningsmodell input'!$B$46*Mellomregninger!DN6))</f>
        <v>#VALUE!</v>
      </c>
      <c r="DX6" s="297"/>
      <c r="DY6" s="297"/>
      <c r="DZ6" s="262">
        <f t="shared" si="22"/>
        <v>100</v>
      </c>
      <c r="EA6" s="298" t="e">
        <f>($S6+$Q6*($O6+$I6*($D6*(1-Stoff!$P6))*(1-EXP(-($F6+Stoff!$L6*365)*DZ6)))*(1-EXP(-($N6+Stoff!$M6*365)*DZ6)))</f>
        <v>#VALUE!</v>
      </c>
      <c r="EB6" s="294" t="e">
        <f t="shared" si="10"/>
        <v>#VALUE!</v>
      </c>
      <c r="EC6" s="296" t="e">
        <f>(EB6/1000000)*('1a. Spredningsmodell input'!$B$49)*'1a. Spredningsmodell input'!$C$35</f>
        <v>#VALUE!</v>
      </c>
      <c r="ED6" s="294" t="e">
        <f t="shared" si="11"/>
        <v>#VALUE!</v>
      </c>
      <c r="EE6" s="290" t="e">
        <f>(ED6/1000000)*('1a. Spredningsmodell input'!$B$49)*'1a. Spredningsmodell input'!$C$35</f>
        <v>#VALUE!</v>
      </c>
      <c r="EF6" s="297" t="e">
        <f>($S6)*EXP(-(Stoff!$N6*365+$U6)*DZ6)+EC6</f>
        <v>#VALUE!</v>
      </c>
      <c r="EG6" s="297" t="e">
        <f>(Stoff!$P6*$S6+EE6)*EXP(-$T6*DZ6)</f>
        <v>#VALUE!</v>
      </c>
      <c r="EH6" s="297" t="e">
        <f>(EF6+EG6)*1000000000/('1a. Spredningsmodell input'!$C$36*1000)</f>
        <v>#VALUE!</v>
      </c>
      <c r="EI6" s="297" t="e">
        <f>$G6*(1-EXP(-'1a. Spredningsmodell input'!$B$43*Mellomregninger!DZ6))*(1-EXP(-'1a. Spredningsmodell input'!$B$46*Mellomregninger!DZ6))</f>
        <v>#VALUE!</v>
      </c>
      <c r="EJ6" s="297"/>
      <c r="EK6" s="297"/>
      <c r="EL6" s="262">
        <f t="shared" si="23"/>
        <v>1.0000000000000001E+25</v>
      </c>
      <c r="EM6" s="294" t="e">
        <f>($S6+$Q6*($O6+$I6*($D6*(1-Stoff!$P6))*(1-EXP(-($F6+Stoff!$L6*365)*EL6)))*(1-EXP(-($N6+Stoff!$M6*365)*EL6)))</f>
        <v>#VALUE!</v>
      </c>
      <c r="EN6" s="296" t="e">
        <f>($S6+$Q6*($O6+$I6*($D6*(1-Stoff!$P6))*(1-EXP(-($F6+Stoff!$L6*365)*(EL6-'1a. Spredningsmodell input'!$C$35))))*(1-EXP(-($N6+Stoff!$M6*365)*(EL6-'1a. Spredningsmodell input'!$C$35))))</f>
        <v>#VALUE!</v>
      </c>
      <c r="EO6" s="294" t="e">
        <f>IF(EL6&lt;'1a. Spredningsmodell input'!$C$35,EM6-($S6)*EXP(-(Stoff!$N6*365+$U6)*EL6),EM6-EN6)</f>
        <v>#VALUE!</v>
      </c>
      <c r="EP6" s="290" t="e">
        <f>((($D6*(Stoff!$P6))*(1-EXP(-'1a. Spredningsmodell input'!$B$43*EL6)))*(1-EXP(-'1a. Spredningsmodell input'!$B$46*EL6)))</f>
        <v>#VALUE!</v>
      </c>
      <c r="EQ6" s="294" t="e">
        <f>((($D6*(Stoff!$P6))*(1-EXP(-'1a. Spredningsmodell input'!$B$43*(EL6-'1a. Spredningsmodell input'!$C$35))))*(1-EXP(-'1a. Spredningsmodell input'!$B$46*(EL6-'1a. Spredningsmodell input'!$C$35))))</f>
        <v>#VALUE!</v>
      </c>
      <c r="ER6" s="290" t="e">
        <f>IF(EL6&lt;'1a. Spredningsmodell input'!$C$35,0,EP6-EQ6)</f>
        <v>#VALUE!</v>
      </c>
      <c r="ES6" s="297" t="e">
        <f>($S6)*EXP(-(Stoff!$N6*365+$U6)*EL6)+EO6</f>
        <v>#VALUE!</v>
      </c>
      <c r="ET6" s="297" t="e">
        <f>(Stoff!$P6*$S6+ER6)*EXP(-$T6*EL6)</f>
        <v>#VALUE!</v>
      </c>
      <c r="EU6" s="297" t="e">
        <f>(ES6+ET6)*1000000000/('1a. Spredningsmodell input'!$C$36*1000)</f>
        <v>#VALUE!</v>
      </c>
      <c r="EV6" s="262" t="e">
        <f t="shared" si="12"/>
        <v>#VALUE!</v>
      </c>
      <c r="EW6" s="299" t="e">
        <f t="shared" si="13"/>
        <v>#VALUE!</v>
      </c>
      <c r="EX6" s="262" t="e">
        <f t="shared" si="24"/>
        <v>#VALUE!</v>
      </c>
    </row>
    <row r="7" spans="1:154" x14ac:dyDescent="0.35">
      <c r="A7" s="50" t="s">
        <v>204</v>
      </c>
      <c r="B7" s="34" t="str">
        <f>IF(ISNUMBER('1c. Kons. porevann'!E7),1000*'1c. Kons. porevann'!E7,IF(ISNUMBER('1b. Kons. umettet jord'!E7),1000*'1b. Kons. umettet jord'!E7/C7,""))</f>
        <v/>
      </c>
      <c r="C7" s="244">
        <f>IF(Stoff!B7="uorganisk",Stoff!C7,Stoff!D7*'1a. Spredningsmodell input'!$C$11)</f>
        <v>100000</v>
      </c>
      <c r="D7" s="34" t="str">
        <f>IF(ISNUMBER(B7),0.000001*('1b. Kons. umettet jord'!G7*'1a. Spredningsmodell input'!$C$12+B7*0.001*'1a. Spredningsmodell input'!$C$14)*1000*'1a. Spredningsmodell input'!$B$41*'1a. Spredningsmodell input'!$C$18,"")</f>
        <v/>
      </c>
      <c r="E7" s="283">
        <f>C7*'1a. Spredningsmodell input'!$C$12/'1a. Spredningsmodell input'!$C$14+1</f>
        <v>850001</v>
      </c>
      <c r="F7" s="284">
        <f>'1a. Spredningsmodell input'!$B$43/E7</f>
        <v>1.7647038062308159E-6</v>
      </c>
      <c r="G7" s="34" t="e">
        <f>Stoff!P7*Mellomregninger!D7</f>
        <v>#VALUE!</v>
      </c>
      <c r="H7" s="283" t="e">
        <f>(D7-G7)*(F7/(F7+Stoff!L7))</f>
        <v>#VALUE!</v>
      </c>
      <c r="I7" s="283">
        <f>F7/(F7+Stoff!L7)</f>
        <v>1</v>
      </c>
      <c r="J7" s="285" t="str">
        <f>IF(B7="","",IF(ISNUMBER('1d. Kons. mettet sone'!E7),'1d. Kons. mettet sone'!E7,IF(ISNUMBER('1e. Kons. grunnvann'!E7),'1e. Kons. grunnvann'!E7*Mellomregninger!K7,0)))</f>
        <v/>
      </c>
      <c r="K7" s="286">
        <f>IF(Stoff!B7="uorganisk",Stoff!C7,Stoff!D7*'1a. Spredningsmodell input'!$C$24)</f>
        <v>100000</v>
      </c>
      <c r="L7" s="27" t="e">
        <f>IF(ISNUMBER('1e. Kons. grunnvann'!E7),1000*'1e. Kons. grunnvann'!E7,1000*J7/K7)</f>
        <v>#VALUE!</v>
      </c>
      <c r="M7" s="34">
        <f>K7*'1a. Spredningsmodell input'!$C$25/'1a. Spredningsmodell input'!$C$26+1</f>
        <v>425001</v>
      </c>
      <c r="N7" s="284">
        <f>'1a. Spredningsmodell input'!$C$26/M7</f>
        <v>9.4117425606057406E-7</v>
      </c>
      <c r="O7" s="287" t="e">
        <f>0.000000001*(J7*'1a. Spredningsmodell input'!$C$25+L7)*1000*'1a. Spredningsmodell input'!$B$45</f>
        <v>#VALUE!</v>
      </c>
      <c r="P7" s="287" t="e">
        <f>O7*Stoff!P7</f>
        <v>#VALUE!</v>
      </c>
      <c r="Q7" s="287">
        <f>N7/(N7+Stoff!M7)</f>
        <v>1</v>
      </c>
      <c r="R7" s="288">
        <f>IF(ISNUMBER('1f. Kons. resipient'!E7),'1f. Kons. resipient'!E7,0)</f>
        <v>0</v>
      </c>
      <c r="S7" s="288">
        <f>0.000000001*'1a. Spredningsmodell input'!$C$36*R7*1000</f>
        <v>0</v>
      </c>
      <c r="T7" s="288">
        <f>1/'1a. Spredningsmodell input'!$C$35</f>
        <v>1</v>
      </c>
      <c r="U7" s="288">
        <f>1/'1a. Spredningsmodell input'!$C$35</f>
        <v>1</v>
      </c>
      <c r="V7" s="300" t="e">
        <f>(1/($N7+Stoff!$L7))*(LN(($D7*$I7/($D7*$I7+$J7))*($F7+Stoff!$L7+$N7+Stoff!$M7)/($N7+Stoff!$M7)))</f>
        <v>#VALUE!</v>
      </c>
      <c r="W7" s="290" t="e">
        <f>($D7-Stoff!$P7*$D7)*EXP(-($F7+Stoff!$L7*365)*V7)</f>
        <v>#VALUE!</v>
      </c>
      <c r="X7" s="291" t="e">
        <f>(Stoff!$P7*$D7)*EXP(-'1a. Spredningsmodell input'!$B$43*V7)</f>
        <v>#VALUE!</v>
      </c>
      <c r="Y7" s="290" t="e">
        <f>($D7-Stoff!$P7*$D7-W7)*($F7/($F7+Stoff!$L7*365))</f>
        <v>#VALUE!</v>
      </c>
      <c r="Z7" s="290" t="e">
        <f>(Stoff!$P7*$D7)-X7</f>
        <v>#VALUE!</v>
      </c>
      <c r="AA7" s="290" t="e">
        <f>($O7+Y7)*EXP(-($N7+Stoff!$M7*365)*V7)</f>
        <v>#VALUE!</v>
      </c>
      <c r="AB7" s="290" t="e">
        <f>(Stoff!$P7*$O7+Z7)*EXP(-('1a. Spredningsmodell input'!$B$46)*V7)</f>
        <v>#VALUE!</v>
      </c>
      <c r="AC7" s="292" t="e">
        <f>((AA7+AB7)*1000000000)/('1a. Spredningsmodell input'!$B$45*1000)</f>
        <v>#VALUE!</v>
      </c>
      <c r="AD7" s="294" t="e">
        <f>0.001*AC7/('1a. Spredningsmodell input'!$C$25+'1a. Spredningsmodell input'!$C$26/Mellomregninger!$K7)</f>
        <v>#VALUE!</v>
      </c>
      <c r="AE7" s="294" t="e">
        <f>1000*AD7/$K7+AB7*1000000000/('1a. Spredningsmodell input'!$B$45*1000)</f>
        <v>#VALUE!</v>
      </c>
      <c r="AF7" s="294" t="e">
        <f t="shared" si="0"/>
        <v>#VALUE!</v>
      </c>
      <c r="AG7" s="294" t="e">
        <f>AB7*1000000000/('1a. Spredningsmodell input'!$B$45*1000)</f>
        <v>#VALUE!</v>
      </c>
      <c r="AH7" s="300" t="e">
        <f>(1/('1a. Spredningsmodell input'!$B$46))*(LN(($D7*Stoff!$P7/($D7*Stoff!$P7+$P7*Stoff!$P7))*('1a. Spredningsmodell input'!$B$43+'1a. Spredningsmodell input'!$B$46)/('1a. Spredningsmodell input'!$B$46)))</f>
        <v>#VALUE!</v>
      </c>
      <c r="AI7" s="290" t="e">
        <f>($D7-Stoff!$P7*$D7)*EXP(-($F7+Stoff!$L7*365)*AH7)</f>
        <v>#VALUE!</v>
      </c>
      <c r="AJ7" s="291" t="e">
        <f>(Stoff!$P7*$D7)*EXP(-'1a. Spredningsmodell input'!$B$43*AH7)</f>
        <v>#VALUE!</v>
      </c>
      <c r="AK7" s="290" t="e">
        <f>($D7-Stoff!$P7*$D7-AI7)*($F7/($F7+Stoff!$L7*365))</f>
        <v>#VALUE!</v>
      </c>
      <c r="AL7" s="290" t="e">
        <f>(Stoff!$P7*$D7)-AJ7</f>
        <v>#VALUE!</v>
      </c>
      <c r="AM7" s="290" t="e">
        <f>($O7+AK7)*EXP(-($N7+Stoff!$M7*365)*AH7)</f>
        <v>#VALUE!</v>
      </c>
      <c r="AN7" s="290" t="e">
        <f>(Stoff!$P7*$O7+AL7)*EXP(-('1a. Spredningsmodell input'!$B$46)*AH7)</f>
        <v>#VALUE!</v>
      </c>
      <c r="AO7" s="292" t="e">
        <f>((AM7+AN7)*1000000000)/('1a. Spredningsmodell input'!$B$45*1000)</f>
        <v>#VALUE!</v>
      </c>
      <c r="AP7" s="294" t="e">
        <f>0.001*AO7/('1a. Spredningsmodell input'!$C$25+'1a. Spredningsmodell input'!$C$26/Mellomregninger!$K7)</f>
        <v>#VALUE!</v>
      </c>
      <c r="AQ7" s="294" t="e">
        <f>1000*AP7/$K7+AN7*1000000000/('1a. Spredningsmodell input'!$B$45*1000)</f>
        <v>#VALUE!</v>
      </c>
      <c r="AR7" s="294" t="e">
        <f t="shared" si="1"/>
        <v>#VALUE!</v>
      </c>
      <c r="AS7" s="294" t="e">
        <f>AN7*1000000000/('1a. Spredningsmodell input'!$B$45*1000)</f>
        <v>#VALUE!</v>
      </c>
      <c r="AT7" s="295">
        <f t="shared" si="14"/>
        <v>5</v>
      </c>
      <c r="AU7" s="290" t="e">
        <f>($D7-Stoff!$P7*$D7)*EXP(-($F7+Stoff!$L7*365)*AT7)</f>
        <v>#VALUE!</v>
      </c>
      <c r="AV7" s="291" t="e">
        <f>(Stoff!$P7*$D7)*EXP(-'1a. Spredningsmodell input'!$B$43*AT7)</f>
        <v>#VALUE!</v>
      </c>
      <c r="AW7" s="290" t="e">
        <f>($D7-Stoff!$P7*$D7-AU7)*($F7/($F7+Stoff!$L7*365))</f>
        <v>#VALUE!</v>
      </c>
      <c r="AX7" s="290" t="e">
        <f>(Stoff!$P7*$D7)-AV7</f>
        <v>#VALUE!</v>
      </c>
      <c r="AY7" s="290" t="e">
        <f>($O7+AW7)*EXP(-($N7+Stoff!$M7*365)*AT7)</f>
        <v>#VALUE!</v>
      </c>
      <c r="AZ7" s="290" t="e">
        <f>(Stoff!$P7*$O7+AX7)*EXP(-('1a. Spredningsmodell input'!$B$46)*AT7)</f>
        <v>#VALUE!</v>
      </c>
      <c r="BA7" s="292" t="e">
        <f>((AY7+AZ7)*1000000000)/('1a. Spredningsmodell input'!$B$45*1000)</f>
        <v>#VALUE!</v>
      </c>
      <c r="BB7" s="294" t="e">
        <f>0.001*BA7/('1a. Spredningsmodell input'!$C$25+'1a. Spredningsmodell input'!$C$26/Mellomregninger!$K7)</f>
        <v>#VALUE!</v>
      </c>
      <c r="BC7" s="294" t="e">
        <f>1000*BB7/$K7+AZ7*1000000000/('1a. Spredningsmodell input'!$B$45*1000)</f>
        <v>#VALUE!</v>
      </c>
      <c r="BD7" s="294" t="e">
        <f t="shared" si="2"/>
        <v>#VALUE!</v>
      </c>
      <c r="BE7" s="294" t="e">
        <f>AZ7*1000000000/('1a. Spredningsmodell input'!$B$45*1000)</f>
        <v>#VALUE!</v>
      </c>
      <c r="BF7" s="295">
        <f t="shared" si="15"/>
        <v>20</v>
      </c>
      <c r="BG7" s="290" t="e">
        <f>($D7-Stoff!$P7*$D7)*EXP(-($F7+Stoff!$L7*365)*BF7)</f>
        <v>#VALUE!</v>
      </c>
      <c r="BH7" s="291" t="e">
        <f>(Stoff!$P7*$D7)*EXP(-'1a. Spredningsmodell input'!$B$43*BF7)</f>
        <v>#VALUE!</v>
      </c>
      <c r="BI7" s="290" t="e">
        <f>($D7-Stoff!$P7*$D7-BG7)*($F7/($F7+Stoff!$L7*365))</f>
        <v>#VALUE!</v>
      </c>
      <c r="BJ7" s="290" t="e">
        <f>(Stoff!$P7*$D7)-BH7</f>
        <v>#VALUE!</v>
      </c>
      <c r="BK7" s="290" t="e">
        <f>($O7+BI7)*EXP(-($N7+Stoff!$M7*365)*BF7)</f>
        <v>#VALUE!</v>
      </c>
      <c r="BL7" s="290" t="e">
        <f>(Stoff!$P7*$O7+BJ7)*EXP(-('1a. Spredningsmodell input'!$B$46)*BF7)</f>
        <v>#VALUE!</v>
      </c>
      <c r="BM7" s="292" t="e">
        <f>((BK7+BL7)*1000000000)/('1a. Spredningsmodell input'!$B$45*1000)</f>
        <v>#VALUE!</v>
      </c>
      <c r="BN7" s="294" t="e">
        <f>0.001*BM7/('1a. Spredningsmodell input'!$C$25+'1a. Spredningsmodell input'!$C$26/Mellomregninger!$K7)</f>
        <v>#VALUE!</v>
      </c>
      <c r="BO7" s="294" t="e">
        <f>1000*BN7/$K7+BL7*1000000000/('1a. Spredningsmodell input'!$B$45*1000)</f>
        <v>#VALUE!</v>
      </c>
      <c r="BP7" s="294" t="e">
        <f t="shared" si="3"/>
        <v>#VALUE!</v>
      </c>
      <c r="BQ7" s="294" t="e">
        <f>BL7*1000000000/('1a. Spredningsmodell input'!$B$45*1000)</f>
        <v>#VALUE!</v>
      </c>
      <c r="BR7" s="295">
        <f t="shared" si="16"/>
        <v>100</v>
      </c>
      <c r="BS7" s="290" t="e">
        <f>($D7-Stoff!$P7*$D7)*EXP(-($F7+Stoff!$L7*365)*BR7)</f>
        <v>#VALUE!</v>
      </c>
      <c r="BT7" s="291" t="e">
        <f>(Stoff!$P7*$D7)*EXP(-'1a. Spredningsmodell input'!$B$43*BR7)</f>
        <v>#VALUE!</v>
      </c>
      <c r="BU7" s="290" t="e">
        <f>($D7-Stoff!$P7*$D7-BS7)*($F7/($F7+Stoff!$L7*365))</f>
        <v>#VALUE!</v>
      </c>
      <c r="BV7" s="290" t="e">
        <f>(Stoff!$P7*$D7)-BT7</f>
        <v>#VALUE!</v>
      </c>
      <c r="BW7" s="290" t="e">
        <f>($O7+BU7)*EXP(-($N7+Stoff!$M7*365)*BR7)</f>
        <v>#VALUE!</v>
      </c>
      <c r="BX7" s="290" t="e">
        <f>(Stoff!$P7*$O7+BV7)*EXP(-('1a. Spredningsmodell input'!$B$46)*BR7)</f>
        <v>#VALUE!</v>
      </c>
      <c r="BY7" s="292" t="e">
        <f>((BW7+BX7)*1000000000)/('1a. Spredningsmodell input'!$B$45*1000)</f>
        <v>#VALUE!</v>
      </c>
      <c r="BZ7" s="294" t="e">
        <f>0.001*BY7/('1a. Spredningsmodell input'!$C$25+'1a. Spredningsmodell input'!$C$26/Mellomregninger!$K7)</f>
        <v>#VALUE!</v>
      </c>
      <c r="CA7" s="294" t="e">
        <f>1000*BZ7/$K7+BX7*1000000000/('1a. Spredningsmodell input'!$B$45*1000)</f>
        <v>#VALUE!</v>
      </c>
      <c r="CB7" s="294" t="e">
        <f t="shared" si="4"/>
        <v>#VALUE!</v>
      </c>
      <c r="CC7" s="294" t="e">
        <f>BX7*1000000000/('1a. Spredningsmodell input'!$B$45*1000)</f>
        <v>#VALUE!</v>
      </c>
      <c r="CD7" s="294" t="e">
        <f>V7+'1a. Spredningsmodell input'!$C$35</f>
        <v>#VALUE!</v>
      </c>
      <c r="CE7" s="294" t="e">
        <f>($S7+$Q7*($O7+$I7*($D7*(1-Stoff!$P7))*(1-EXP(-($F7+Stoff!$L7*365)*CD7)))*(1-EXP(-($N7+Stoff!$M7*365)*CD7)))</f>
        <v>#VALUE!</v>
      </c>
      <c r="CF7" s="294" t="e">
        <f t="shared" si="5"/>
        <v>#VALUE!</v>
      </c>
      <c r="CG7" s="296" t="e">
        <f>(CF7/1000000)*'1a. Spredningsmodell input'!$B$49*'1a. Spredningsmodell input'!$C$35</f>
        <v>#VALUE!</v>
      </c>
      <c r="CH7" s="294" t="e">
        <f t="shared" si="17"/>
        <v>#VALUE!</v>
      </c>
      <c r="CI7" s="290" t="e">
        <f>(CH7/1000000)*'1a. Spredningsmodell input'!$B$49*'1a. Spredningsmodell input'!$C$35</f>
        <v>#VALUE!</v>
      </c>
      <c r="CJ7" s="297" t="e">
        <f>($S7)*EXP(-(Stoff!$N7*365+$U7)*CD7)+CG7</f>
        <v>#VALUE!</v>
      </c>
      <c r="CK7" s="297" t="e">
        <f>(Stoff!$P7*$S7+CI7)*EXP(-$T7*CD7)</f>
        <v>#VALUE!</v>
      </c>
      <c r="CL7" s="297" t="e">
        <f>(CJ7+CK7)*1000000000/('1a. Spredningsmodell input'!$C$36*1000)</f>
        <v>#VALUE!</v>
      </c>
      <c r="CM7" s="297" t="e">
        <f>$G7*(1-EXP(-'1a. Spredningsmodell input'!$B$43*Mellomregninger!CD7))*(1-EXP(-'1a. Spredningsmodell input'!$B$46*Mellomregninger!CD7))</f>
        <v>#VALUE!</v>
      </c>
      <c r="CN7" s="297"/>
      <c r="CO7" s="297"/>
      <c r="CP7" s="290">
        <f>IF(ISNUMBER(AH7),AH7+'1a. Spredningsmodell input'!$C$35,'1a. Spredningsmodell input'!$C$35)</f>
        <v>1</v>
      </c>
      <c r="CQ7" s="294" t="e">
        <f>($S7+$Q7*($O7+$I7*($D7*(1-Stoff!$P7))*(1-EXP(-($F7+Stoff!$L7*365)*CP7)))*(1-EXP(-($N7+Stoff!$M7*365)*CP7)))</f>
        <v>#VALUE!</v>
      </c>
      <c r="CR7" s="294" t="e">
        <f t="shared" si="6"/>
        <v>#VALUE!</v>
      </c>
      <c r="CS7" s="296" t="e">
        <f>(CR7/1000000)*('1a. Spredningsmodell input'!$B$49*'1a. Spredningsmodell input'!$C$35)</f>
        <v>#VALUE!</v>
      </c>
      <c r="CT7" s="294" t="e">
        <f t="shared" si="7"/>
        <v>#VALUE!</v>
      </c>
      <c r="CU7" s="290" t="e">
        <f>(CT7/1000000)*('1a. Spredningsmodell input'!$B$49)*'1a. Spredningsmodell input'!$C$35</f>
        <v>#VALUE!</v>
      </c>
      <c r="CV7" s="297" t="e">
        <f>($S7)*EXP(-(Stoff!$N7*365+$U7)*CP7)+CS7</f>
        <v>#VALUE!</v>
      </c>
      <c r="CW7" s="297" t="e">
        <f>(Stoff!$P7*$S7+CU7)*EXP(-$T7*CP7)</f>
        <v>#VALUE!</v>
      </c>
      <c r="CX7" s="297">
        <f>IF(ISERROR(CV7),0,(CV7+CW7)*1000000000/('1a. Spredningsmodell input'!$C$36*1000))</f>
        <v>0</v>
      </c>
      <c r="CY7" s="297" t="e">
        <f>$G7*(1-EXP(-'1a. Spredningsmodell input'!$B$43*Mellomregninger!CP7))*(1-EXP(-'1a. Spredningsmodell input'!$B$46*Mellomregninger!CP7))</f>
        <v>#VALUE!</v>
      </c>
      <c r="CZ7" s="297"/>
      <c r="DA7" s="297"/>
      <c r="DB7" s="262">
        <f t="shared" si="18"/>
        <v>5</v>
      </c>
      <c r="DC7" s="298" t="e">
        <f>($S7+$Q7*($O7+$I7*($D7*(1-Stoff!$P7))*(1-EXP(-($F7+Stoff!$L7*365)*DB7)))*(1-EXP(-($N7+Stoff!$M7*365)*DB7)))</f>
        <v>#VALUE!</v>
      </c>
      <c r="DD7" s="294" t="e">
        <f t="shared" si="8"/>
        <v>#VALUE!</v>
      </c>
      <c r="DE7" s="296" t="e">
        <f>(DD7/1000000)*('1a. Spredningsmodell input'!$B$49)*'1a. Spredningsmodell input'!$C$35</f>
        <v>#VALUE!</v>
      </c>
      <c r="DF7" s="294" t="e">
        <f t="shared" si="19"/>
        <v>#VALUE!</v>
      </c>
      <c r="DG7" s="290" t="e">
        <f>(DF7/1000000)*('1a. Spredningsmodell input'!$B$49)*'1a. Spredningsmodell input'!$C$35</f>
        <v>#VALUE!</v>
      </c>
      <c r="DH7" s="297" t="e">
        <f>($S7)*EXP(-(Stoff!$N7*365+$U7)*DB7)+DE7</f>
        <v>#VALUE!</v>
      </c>
      <c r="DI7" s="297" t="e">
        <f>(Stoff!$P7*$S7+DG7)*EXP(-$T7*DB7)</f>
        <v>#VALUE!</v>
      </c>
      <c r="DJ7" s="297" t="e">
        <f>(DH7+DI7)*1000000000/('1a. Spredningsmodell input'!$C$36*1000)</f>
        <v>#VALUE!</v>
      </c>
      <c r="DK7" s="297" t="e">
        <f>$G7*(1-EXP(-'1a. Spredningsmodell input'!$B$43*Mellomregninger!DB7))*(1-EXP(-'1a. Spredningsmodell input'!$B$46*Mellomregninger!DB7))</f>
        <v>#VALUE!</v>
      </c>
      <c r="DL7" s="297"/>
      <c r="DM7" s="297"/>
      <c r="DN7" s="262">
        <f t="shared" si="20"/>
        <v>20</v>
      </c>
      <c r="DO7" s="298" t="e">
        <f>($S7+$Q7*($O7+$I7*($D7*(1-Stoff!$P7))*(1-EXP(-($F7+Stoff!$L7*365)*DN7)))*(1-EXP(-($N7+Stoff!$M7*365)*DN7)))</f>
        <v>#VALUE!</v>
      </c>
      <c r="DP7" s="294" t="e">
        <f t="shared" si="21"/>
        <v>#VALUE!</v>
      </c>
      <c r="DQ7" s="296" t="e">
        <f>(DP7/1000000)*('1a. Spredningsmodell input'!$B$49)*'1a. Spredningsmodell input'!$C$35</f>
        <v>#VALUE!</v>
      </c>
      <c r="DR7" s="294" t="e">
        <f t="shared" si="9"/>
        <v>#VALUE!</v>
      </c>
      <c r="DS7" s="290" t="e">
        <f>(DR7/1000000)*('1a. Spredningsmodell input'!$B$49)*'1a. Spredningsmodell input'!$C$35</f>
        <v>#VALUE!</v>
      </c>
      <c r="DT7" s="297" t="e">
        <f>($S7)*EXP(-(Stoff!$N7*365+$U7)*DN7)+DQ7</f>
        <v>#VALUE!</v>
      </c>
      <c r="DU7" s="297" t="e">
        <f>(Stoff!$P7*$S7+DS7)*EXP(-$T7*DN7)</f>
        <v>#VALUE!</v>
      </c>
      <c r="DV7" s="297" t="e">
        <f>(DT7+DU7)*1000000000/('1a. Spredningsmodell input'!$C$36*1000)</f>
        <v>#VALUE!</v>
      </c>
      <c r="DW7" s="297" t="e">
        <f>$G7*(1-EXP(-'1a. Spredningsmodell input'!$B$43*Mellomregninger!DN7))*(1-EXP(-'1a. Spredningsmodell input'!$B$46*Mellomregninger!DN7))</f>
        <v>#VALUE!</v>
      </c>
      <c r="DX7" s="297"/>
      <c r="DY7" s="297"/>
      <c r="DZ7" s="262">
        <f t="shared" si="22"/>
        <v>100</v>
      </c>
      <c r="EA7" s="298" t="e">
        <f>($S7+$Q7*($O7+$I7*($D7*(1-Stoff!$P7))*(1-EXP(-($F7+Stoff!$L7*365)*DZ7)))*(1-EXP(-($N7+Stoff!$M7*365)*DZ7)))</f>
        <v>#VALUE!</v>
      </c>
      <c r="EB7" s="294" t="e">
        <f t="shared" si="10"/>
        <v>#VALUE!</v>
      </c>
      <c r="EC7" s="296" t="e">
        <f>(EB7/1000000)*('1a. Spredningsmodell input'!$B$49)*'1a. Spredningsmodell input'!$C$35</f>
        <v>#VALUE!</v>
      </c>
      <c r="ED7" s="294" t="e">
        <f t="shared" si="11"/>
        <v>#VALUE!</v>
      </c>
      <c r="EE7" s="290" t="e">
        <f>(ED7/1000000)*('1a. Spredningsmodell input'!$B$49)*'1a. Spredningsmodell input'!$C$35</f>
        <v>#VALUE!</v>
      </c>
      <c r="EF7" s="297" t="e">
        <f>($S7)*EXP(-(Stoff!$N7*365+$U7)*DZ7)+EC7</f>
        <v>#VALUE!</v>
      </c>
      <c r="EG7" s="297" t="e">
        <f>(Stoff!$P7*$S7+EE7)*EXP(-$T7*DZ7)</f>
        <v>#VALUE!</v>
      </c>
      <c r="EH7" s="297" t="e">
        <f>(EF7+EG7)*1000000000/('1a. Spredningsmodell input'!$C$36*1000)</f>
        <v>#VALUE!</v>
      </c>
      <c r="EI7" s="297" t="e">
        <f>$G7*(1-EXP(-'1a. Spredningsmodell input'!$B$43*Mellomregninger!DZ7))*(1-EXP(-'1a. Spredningsmodell input'!$B$46*Mellomregninger!DZ7))</f>
        <v>#VALUE!</v>
      </c>
      <c r="EJ7" s="297"/>
      <c r="EK7" s="297"/>
      <c r="EL7" s="262">
        <f t="shared" si="23"/>
        <v>1.0000000000000001E+25</v>
      </c>
      <c r="EM7" s="294" t="e">
        <f>($S7+$Q7*($O7+$I7*($D7*(1-Stoff!$P7))*(1-EXP(-($F7+Stoff!$L7*365)*EL7)))*(1-EXP(-($N7+Stoff!$M7*365)*EL7)))</f>
        <v>#VALUE!</v>
      </c>
      <c r="EN7" s="296" t="e">
        <f>($S7+$Q7*($O7+$I7*($D7*(1-Stoff!$P7))*(1-EXP(-($F7+Stoff!$L7*365)*(EL7-'1a. Spredningsmodell input'!$C$35))))*(1-EXP(-($N7+Stoff!$M7*365)*(EL7-'1a. Spredningsmodell input'!$C$35))))</f>
        <v>#VALUE!</v>
      </c>
      <c r="EO7" s="294" t="e">
        <f>IF(EL7&lt;'1a. Spredningsmodell input'!$C$35,EM7-($S7)*EXP(-(Stoff!$N7*365+$U7)*EL7),EM7-EN7)</f>
        <v>#VALUE!</v>
      </c>
      <c r="EP7" s="290" t="e">
        <f>((($D7*(Stoff!$P7))*(1-EXP(-'1a. Spredningsmodell input'!$B$43*EL7)))*(1-EXP(-'1a. Spredningsmodell input'!$B$46*EL7)))</f>
        <v>#VALUE!</v>
      </c>
      <c r="EQ7" s="294" t="e">
        <f>((($D7*(Stoff!$P7))*(1-EXP(-'1a. Spredningsmodell input'!$B$43*(EL7-'1a. Spredningsmodell input'!$C$35))))*(1-EXP(-'1a. Spredningsmodell input'!$B$46*(EL7-'1a. Spredningsmodell input'!$C$35))))</f>
        <v>#VALUE!</v>
      </c>
      <c r="ER7" s="290" t="e">
        <f>IF(EL7&lt;'1a. Spredningsmodell input'!$C$35,0,EP7-EQ7)</f>
        <v>#VALUE!</v>
      </c>
      <c r="ES7" s="297" t="e">
        <f>($S7)*EXP(-(Stoff!$N7*365+$U7)*EL7)+EO7</f>
        <v>#VALUE!</v>
      </c>
      <c r="ET7" s="297" t="e">
        <f>(Stoff!$P7*$S7+ER7)*EXP(-$T7*EL7)</f>
        <v>#VALUE!</v>
      </c>
      <c r="EU7" s="297" t="e">
        <f>(ES7+ET7)*1000000000/('1a. Spredningsmodell input'!$C$36*1000)</f>
        <v>#VALUE!</v>
      </c>
      <c r="EV7" s="262" t="e">
        <f t="shared" si="12"/>
        <v>#VALUE!</v>
      </c>
      <c r="EW7" s="299" t="e">
        <f t="shared" si="13"/>
        <v>#VALUE!</v>
      </c>
      <c r="EX7" s="262" t="e">
        <f t="shared" si="24"/>
        <v>#VALUE!</v>
      </c>
    </row>
    <row r="8" spans="1:154" x14ac:dyDescent="0.35">
      <c r="A8" s="50" t="s">
        <v>203</v>
      </c>
      <c r="B8" s="34" t="str">
        <f>IF(ISNUMBER('1c. Kons. porevann'!E8),1000*'1c. Kons. porevann'!E8,IF(ISNUMBER('1b. Kons. umettet jord'!E8),1000*'1b. Kons. umettet jord'!E8/C8,""))</f>
        <v/>
      </c>
      <c r="C8" s="244">
        <f>IF(Stoff!B8="uorganisk",Stoff!C8,Stoff!D8*'1a. Spredningsmodell input'!$C$11)</f>
        <v>24409</v>
      </c>
      <c r="D8" s="34" t="str">
        <f>IF(ISNUMBER(B8),0.000001*('1b. Kons. umettet jord'!G8*'1a. Spredningsmodell input'!$C$12+B8*0.001*'1a. Spredningsmodell input'!$C$14)*1000*'1a. Spredningsmodell input'!$B$41*'1a. Spredningsmodell input'!$C$18,"")</f>
        <v/>
      </c>
      <c r="E8" s="283">
        <f>C8*'1a. Spredningsmodell input'!$C$12/'1a. Spredningsmodell input'!$C$14+1</f>
        <v>207477.49999999997</v>
      </c>
      <c r="F8" s="284">
        <f>'1a. Spredningsmodell input'!$B$43/E8</f>
        <v>7.2296996059813713E-6</v>
      </c>
      <c r="G8" s="34" t="e">
        <f>Stoff!P8*Mellomregninger!D8</f>
        <v>#VALUE!</v>
      </c>
      <c r="H8" s="283" t="e">
        <f>(D8-G8)*(F8/(F8+Stoff!L8))</f>
        <v>#VALUE!</v>
      </c>
      <c r="I8" s="283">
        <f>F8/(F8+Stoff!L8)</f>
        <v>1</v>
      </c>
      <c r="J8" s="285" t="str">
        <f>IF(B8="","",IF(ISNUMBER('1d. Kons. mettet sone'!E8),'1d. Kons. mettet sone'!E8,IF(ISNUMBER('1e. Kons. grunnvann'!E8),'1e. Kons. grunnvann'!E8*Mellomregninger!K8,0)))</f>
        <v/>
      </c>
      <c r="K8" s="286">
        <f>IF(Stoff!B8="uorganisk",Stoff!C8,Stoff!D8*'1a. Spredningsmodell input'!$C$24)</f>
        <v>24409</v>
      </c>
      <c r="L8" s="27" t="e">
        <f>IF(ISNUMBER('1e. Kons. grunnvann'!E8),1000*'1e. Kons. grunnvann'!E8,1000*J8/K8)</f>
        <v>#VALUE!</v>
      </c>
      <c r="M8" s="34">
        <f>K8*'1a. Spredningsmodell input'!$C$25/'1a. Spredningsmodell input'!$C$26+1</f>
        <v>103739.24999999999</v>
      </c>
      <c r="N8" s="284">
        <f>'1a. Spredningsmodell input'!$C$26/M8</f>
        <v>3.8558212055706988E-6</v>
      </c>
      <c r="O8" s="287" t="e">
        <f>0.000000001*(J8*'1a. Spredningsmodell input'!$C$25+L8)*1000*'1a. Spredningsmodell input'!$B$45</f>
        <v>#VALUE!</v>
      </c>
      <c r="P8" s="287" t="e">
        <f>O8*Stoff!P8</f>
        <v>#VALUE!</v>
      </c>
      <c r="Q8" s="287">
        <f>N8/(N8+Stoff!M8)</f>
        <v>1</v>
      </c>
      <c r="R8" s="288">
        <f>IF(ISNUMBER('1f. Kons. resipient'!E8),'1f. Kons. resipient'!E8,0)</f>
        <v>0</v>
      </c>
      <c r="S8" s="288">
        <f>0.000000001*'1a. Spredningsmodell input'!$C$36*R8*1000</f>
        <v>0</v>
      </c>
      <c r="T8" s="288">
        <f>1/'1a. Spredningsmodell input'!$C$35</f>
        <v>1</v>
      </c>
      <c r="U8" s="288">
        <f>1/'1a. Spredningsmodell input'!$C$35</f>
        <v>1</v>
      </c>
      <c r="V8" s="300" t="e">
        <f>(1/($N8+Stoff!$L8))*(LN(($D8*$I8/($D8*$I8+$J8))*($F8+Stoff!$L8+$N8+Stoff!$M8)/($N8+Stoff!$M8)))</f>
        <v>#VALUE!</v>
      </c>
      <c r="W8" s="290" t="e">
        <f>($D8-Stoff!$P8*$D8)*EXP(-($F8+Stoff!$L8*365)*V8)</f>
        <v>#VALUE!</v>
      </c>
      <c r="X8" s="291" t="e">
        <f>(Stoff!$P8*$D8)*EXP(-'1a. Spredningsmodell input'!$B$43*V8)</f>
        <v>#VALUE!</v>
      </c>
      <c r="Y8" s="290" t="e">
        <f>($D8-Stoff!$P8*$D8-W8)*($F8/($F8+Stoff!$L8*365))</f>
        <v>#VALUE!</v>
      </c>
      <c r="Z8" s="290" t="e">
        <f>(Stoff!$P8*$D8)-X8</f>
        <v>#VALUE!</v>
      </c>
      <c r="AA8" s="290" t="e">
        <f>($O8+Y8)*EXP(-($N8+Stoff!$M8*365)*V8)</f>
        <v>#VALUE!</v>
      </c>
      <c r="AB8" s="290" t="e">
        <f>(Stoff!$P8*$O8+Z8)*EXP(-('1a. Spredningsmodell input'!$B$46)*V8)</f>
        <v>#VALUE!</v>
      </c>
      <c r="AC8" s="292" t="e">
        <f>((AA8+AB8)*1000000000)/('1a. Spredningsmodell input'!$B$45*1000)</f>
        <v>#VALUE!</v>
      </c>
      <c r="AD8" s="294" t="e">
        <f>0.001*AC8/('1a. Spredningsmodell input'!$C$25+'1a. Spredningsmodell input'!$C$26/Mellomregninger!$K8)</f>
        <v>#VALUE!</v>
      </c>
      <c r="AE8" s="294" t="e">
        <f>1000*AD8/$K8+AB8*1000000000/('1a. Spredningsmodell input'!$B$45*1000)</f>
        <v>#VALUE!</v>
      </c>
      <c r="AF8" s="294" t="e">
        <f t="shared" si="0"/>
        <v>#VALUE!</v>
      </c>
      <c r="AG8" s="294" t="e">
        <f>AB8*1000000000/('1a. Spredningsmodell input'!$B$45*1000)</f>
        <v>#VALUE!</v>
      </c>
      <c r="AH8" s="300" t="e">
        <f>(1/('1a. Spredningsmodell input'!$B$46))*(LN(($D8*Stoff!$P8/($D8*Stoff!$P8+$P8*Stoff!$P8))*('1a. Spredningsmodell input'!$B$43+'1a. Spredningsmodell input'!$B$46)/('1a. Spredningsmodell input'!$B$46)))</f>
        <v>#VALUE!</v>
      </c>
      <c r="AI8" s="290" t="e">
        <f>($D8-Stoff!$P8*$D8)*EXP(-($F8+Stoff!$L8*365)*AH8)</f>
        <v>#VALUE!</v>
      </c>
      <c r="AJ8" s="291" t="e">
        <f>(Stoff!$P8*$D8)*EXP(-'1a. Spredningsmodell input'!$B$43*AH8)</f>
        <v>#VALUE!</v>
      </c>
      <c r="AK8" s="290" t="e">
        <f>($D8-Stoff!$P8*$D8-AI8)*($F8/($F8+Stoff!$L8*365))</f>
        <v>#VALUE!</v>
      </c>
      <c r="AL8" s="290" t="e">
        <f>(Stoff!$P8*$D8)-AJ8</f>
        <v>#VALUE!</v>
      </c>
      <c r="AM8" s="290" t="e">
        <f>($O8+AK8)*EXP(-($N8+Stoff!$M8*365)*AH8)</f>
        <v>#VALUE!</v>
      </c>
      <c r="AN8" s="290" t="e">
        <f>(Stoff!$P8*$O8+AL8)*EXP(-('1a. Spredningsmodell input'!$B$46)*AH8)</f>
        <v>#VALUE!</v>
      </c>
      <c r="AO8" s="292" t="e">
        <f>((AM8+AN8)*1000000000)/('1a. Spredningsmodell input'!$B$45*1000)</f>
        <v>#VALUE!</v>
      </c>
      <c r="AP8" s="294" t="e">
        <f>0.001*AO8/('1a. Spredningsmodell input'!$C$25+'1a. Spredningsmodell input'!$C$26/Mellomregninger!$K8)</f>
        <v>#VALUE!</v>
      </c>
      <c r="AQ8" s="294" t="e">
        <f>1000*AP8/$K8+AN8*1000000000/('1a. Spredningsmodell input'!$B$45*1000)</f>
        <v>#VALUE!</v>
      </c>
      <c r="AR8" s="294" t="e">
        <f t="shared" si="1"/>
        <v>#VALUE!</v>
      </c>
      <c r="AS8" s="294" t="e">
        <f>AN8*1000000000/('1a. Spredningsmodell input'!$B$45*1000)</f>
        <v>#VALUE!</v>
      </c>
      <c r="AT8" s="295">
        <f t="shared" si="14"/>
        <v>5</v>
      </c>
      <c r="AU8" s="290" t="e">
        <f>($D8-Stoff!$P8*$D8)*EXP(-($F8+Stoff!$L8*365)*AT8)</f>
        <v>#VALUE!</v>
      </c>
      <c r="AV8" s="291" t="e">
        <f>(Stoff!$P8*$D8)*EXP(-'1a. Spredningsmodell input'!$B$43*AT8)</f>
        <v>#VALUE!</v>
      </c>
      <c r="AW8" s="290" t="e">
        <f>($D8-Stoff!$P8*$D8-AU8)*($F8/($F8+Stoff!$L8*365))</f>
        <v>#VALUE!</v>
      </c>
      <c r="AX8" s="290" t="e">
        <f>(Stoff!$P8*$D8)-AV8</f>
        <v>#VALUE!</v>
      </c>
      <c r="AY8" s="290" t="e">
        <f>($O8+AW8)*EXP(-($N8+Stoff!$M8*365)*AT8)</f>
        <v>#VALUE!</v>
      </c>
      <c r="AZ8" s="290" t="e">
        <f>(Stoff!$P8*$O8+AX8)*EXP(-('1a. Spredningsmodell input'!$B$46)*AT8)</f>
        <v>#VALUE!</v>
      </c>
      <c r="BA8" s="292" t="e">
        <f>((AY8+AZ8)*1000000000)/('1a. Spredningsmodell input'!$B$45*1000)</f>
        <v>#VALUE!</v>
      </c>
      <c r="BB8" s="294" t="e">
        <f>0.001*BA8/('1a. Spredningsmodell input'!$C$25+'1a. Spredningsmodell input'!$C$26/Mellomregninger!$K8)</f>
        <v>#VALUE!</v>
      </c>
      <c r="BC8" s="294" t="e">
        <f>1000*BB8/$K8+AZ8*1000000000/('1a. Spredningsmodell input'!$B$45*1000)</f>
        <v>#VALUE!</v>
      </c>
      <c r="BD8" s="294" t="e">
        <f t="shared" si="2"/>
        <v>#VALUE!</v>
      </c>
      <c r="BE8" s="294" t="e">
        <f>AZ8*1000000000/('1a. Spredningsmodell input'!$B$45*1000)</f>
        <v>#VALUE!</v>
      </c>
      <c r="BF8" s="295">
        <f t="shared" si="15"/>
        <v>20</v>
      </c>
      <c r="BG8" s="290" t="e">
        <f>($D8-Stoff!$P8*$D8)*EXP(-($F8+Stoff!$L8*365)*BF8)</f>
        <v>#VALUE!</v>
      </c>
      <c r="BH8" s="291" t="e">
        <f>(Stoff!$P8*$D8)*EXP(-'1a. Spredningsmodell input'!$B$43*BF8)</f>
        <v>#VALUE!</v>
      </c>
      <c r="BI8" s="290" t="e">
        <f>($D8-Stoff!$P8*$D8-BG8)*($F8/($F8+Stoff!$L8*365))</f>
        <v>#VALUE!</v>
      </c>
      <c r="BJ8" s="290" t="e">
        <f>(Stoff!$P8*$D8)-BH8</f>
        <v>#VALUE!</v>
      </c>
      <c r="BK8" s="290" t="e">
        <f>($O8+BI8)*EXP(-($N8+Stoff!$M8*365)*BF8)</f>
        <v>#VALUE!</v>
      </c>
      <c r="BL8" s="290" t="e">
        <f>(Stoff!$P8*$O8+BJ8)*EXP(-('1a. Spredningsmodell input'!$B$46)*BF8)</f>
        <v>#VALUE!</v>
      </c>
      <c r="BM8" s="292" t="e">
        <f>((BK8+BL8)*1000000000)/('1a. Spredningsmodell input'!$B$45*1000)</f>
        <v>#VALUE!</v>
      </c>
      <c r="BN8" s="294" t="e">
        <f>0.001*BM8/('1a. Spredningsmodell input'!$C$25+'1a. Spredningsmodell input'!$C$26/Mellomregninger!$K8)</f>
        <v>#VALUE!</v>
      </c>
      <c r="BO8" s="294" t="e">
        <f>1000*BN8/$K8+BL8*1000000000/('1a. Spredningsmodell input'!$B$45*1000)</f>
        <v>#VALUE!</v>
      </c>
      <c r="BP8" s="294" t="e">
        <f t="shared" si="3"/>
        <v>#VALUE!</v>
      </c>
      <c r="BQ8" s="294" t="e">
        <f>BL8*1000000000/('1a. Spredningsmodell input'!$B$45*1000)</f>
        <v>#VALUE!</v>
      </c>
      <c r="BR8" s="295">
        <f t="shared" si="16"/>
        <v>100</v>
      </c>
      <c r="BS8" s="290" t="e">
        <f>($D8-Stoff!$P8*$D8)*EXP(-($F8+Stoff!$L8*365)*BR8)</f>
        <v>#VALUE!</v>
      </c>
      <c r="BT8" s="291" t="e">
        <f>(Stoff!$P8*$D8)*EXP(-'1a. Spredningsmodell input'!$B$43*BR8)</f>
        <v>#VALUE!</v>
      </c>
      <c r="BU8" s="290" t="e">
        <f>($D8-Stoff!$P8*$D8-BS8)*($F8/($F8+Stoff!$L8*365))</f>
        <v>#VALUE!</v>
      </c>
      <c r="BV8" s="290" t="e">
        <f>(Stoff!$P8*$D8)-BT8</f>
        <v>#VALUE!</v>
      </c>
      <c r="BW8" s="290" t="e">
        <f>($O8+BU8)*EXP(-($N8+Stoff!$M8*365)*BR8)</f>
        <v>#VALUE!</v>
      </c>
      <c r="BX8" s="290" t="e">
        <f>(Stoff!$P8*$O8+BV8)*EXP(-('1a. Spredningsmodell input'!$B$46)*BR8)</f>
        <v>#VALUE!</v>
      </c>
      <c r="BY8" s="292" t="e">
        <f>((BW8+BX8)*1000000000)/('1a. Spredningsmodell input'!$B$45*1000)</f>
        <v>#VALUE!</v>
      </c>
      <c r="BZ8" s="294" t="e">
        <f>0.001*BY8/('1a. Spredningsmodell input'!$C$25+'1a. Spredningsmodell input'!$C$26/Mellomregninger!$K8)</f>
        <v>#VALUE!</v>
      </c>
      <c r="CA8" s="294" t="e">
        <f>1000*BZ8/$K8+BX8*1000000000/('1a. Spredningsmodell input'!$B$45*1000)</f>
        <v>#VALUE!</v>
      </c>
      <c r="CB8" s="294" t="e">
        <f t="shared" si="4"/>
        <v>#VALUE!</v>
      </c>
      <c r="CC8" s="294" t="e">
        <f>BX8*1000000000/('1a. Spredningsmodell input'!$B$45*1000)</f>
        <v>#VALUE!</v>
      </c>
      <c r="CD8" s="294" t="e">
        <f>V8+'1a. Spredningsmodell input'!$C$35</f>
        <v>#VALUE!</v>
      </c>
      <c r="CE8" s="294" t="e">
        <f>($S8+$Q8*($O8+$I8*($D8*(1-Stoff!$P8))*(1-EXP(-($F8+Stoff!$L8*365)*CD8)))*(1-EXP(-($N8+Stoff!$M8*365)*CD8)))</f>
        <v>#VALUE!</v>
      </c>
      <c r="CF8" s="294" t="e">
        <f t="shared" si="5"/>
        <v>#VALUE!</v>
      </c>
      <c r="CG8" s="296" t="e">
        <f>(CF8/1000000)*'1a. Spredningsmodell input'!$B$49*'1a. Spredningsmodell input'!$C$35</f>
        <v>#VALUE!</v>
      </c>
      <c r="CH8" s="294" t="e">
        <f t="shared" si="17"/>
        <v>#VALUE!</v>
      </c>
      <c r="CI8" s="290" t="e">
        <f>(CH8/1000000)*'1a. Spredningsmodell input'!$B$49*'1a. Spredningsmodell input'!$C$35</f>
        <v>#VALUE!</v>
      </c>
      <c r="CJ8" s="297" t="e">
        <f>($S8)*EXP(-(Stoff!$N8*365+$U8)*CD8)+CG8</f>
        <v>#VALUE!</v>
      </c>
      <c r="CK8" s="297" t="e">
        <f>(Stoff!$P8*$S8+CI8)*EXP(-$T8*CD8)</f>
        <v>#VALUE!</v>
      </c>
      <c r="CL8" s="297" t="e">
        <f>(CJ8+CK8)*1000000000/('1a. Spredningsmodell input'!$C$36*1000)</f>
        <v>#VALUE!</v>
      </c>
      <c r="CM8" s="297" t="e">
        <f>$G8*(1-EXP(-'1a. Spredningsmodell input'!$B$43*Mellomregninger!CD8))*(1-EXP(-'1a. Spredningsmodell input'!$B$46*Mellomregninger!CD8))</f>
        <v>#VALUE!</v>
      </c>
      <c r="CN8" s="297"/>
      <c r="CO8" s="297"/>
      <c r="CP8" s="290">
        <f>IF(ISNUMBER(AH8),AH8+'1a. Spredningsmodell input'!$C$35,'1a. Spredningsmodell input'!$C$35)</f>
        <v>1</v>
      </c>
      <c r="CQ8" s="294" t="e">
        <f>($S8+$Q8*($O8+$I8*($D8*(1-Stoff!$P8))*(1-EXP(-($F8+Stoff!$L8*365)*CP8)))*(1-EXP(-($N8+Stoff!$M8*365)*CP8)))</f>
        <v>#VALUE!</v>
      </c>
      <c r="CR8" s="294" t="e">
        <f t="shared" si="6"/>
        <v>#VALUE!</v>
      </c>
      <c r="CS8" s="296" t="e">
        <f>(CR8/1000000)*('1a. Spredningsmodell input'!$B$49*'1a. Spredningsmodell input'!$C$35)</f>
        <v>#VALUE!</v>
      </c>
      <c r="CT8" s="294" t="e">
        <f t="shared" si="7"/>
        <v>#VALUE!</v>
      </c>
      <c r="CU8" s="290" t="e">
        <f>(CT8/1000000)*('1a. Spredningsmodell input'!$B$49)*'1a. Spredningsmodell input'!$C$35</f>
        <v>#VALUE!</v>
      </c>
      <c r="CV8" s="297" t="e">
        <f>($S8)*EXP(-(Stoff!$N8*365+$U8)*CP8)+CS8</f>
        <v>#VALUE!</v>
      </c>
      <c r="CW8" s="297" t="e">
        <f>(Stoff!$P8*$S8+CU8)*EXP(-$T8*CP8)</f>
        <v>#VALUE!</v>
      </c>
      <c r="CX8" s="297">
        <f>IF(ISERROR(CV8),0,(CV8+CW8)*1000000000/('1a. Spredningsmodell input'!$C$36*1000))</f>
        <v>0</v>
      </c>
      <c r="CY8" s="297" t="e">
        <f>$G8*(1-EXP(-'1a. Spredningsmodell input'!$B$43*Mellomregninger!CP8))*(1-EXP(-'1a. Spredningsmodell input'!$B$46*Mellomregninger!CP8))</f>
        <v>#VALUE!</v>
      </c>
      <c r="CZ8" s="297"/>
      <c r="DA8" s="297"/>
      <c r="DB8" s="262">
        <f t="shared" si="18"/>
        <v>5</v>
      </c>
      <c r="DC8" s="298" t="e">
        <f>($S8+$Q8*($O8+$I8*($D8*(1-Stoff!$P8))*(1-EXP(-($F8+Stoff!$L8*365)*DB8)))*(1-EXP(-($N8+Stoff!$M8*365)*DB8)))</f>
        <v>#VALUE!</v>
      </c>
      <c r="DD8" s="294" t="e">
        <f t="shared" si="8"/>
        <v>#VALUE!</v>
      </c>
      <c r="DE8" s="296" t="e">
        <f>(DD8/1000000)*('1a. Spredningsmodell input'!$B$49)*'1a. Spredningsmodell input'!$C$35</f>
        <v>#VALUE!</v>
      </c>
      <c r="DF8" s="294" t="e">
        <f t="shared" si="19"/>
        <v>#VALUE!</v>
      </c>
      <c r="DG8" s="290" t="e">
        <f>(DF8/1000000)*('1a. Spredningsmodell input'!$B$49)*'1a. Spredningsmodell input'!$C$35</f>
        <v>#VALUE!</v>
      </c>
      <c r="DH8" s="297" t="e">
        <f>($S8)*EXP(-(Stoff!$N8*365+$U8)*DB8)+DE8</f>
        <v>#VALUE!</v>
      </c>
      <c r="DI8" s="297" t="e">
        <f>(Stoff!$P8*$S8+DG8)*EXP(-$T8*DB8)</f>
        <v>#VALUE!</v>
      </c>
      <c r="DJ8" s="297" t="e">
        <f>(DH8+DI8)*1000000000/('1a. Spredningsmodell input'!$C$36*1000)</f>
        <v>#VALUE!</v>
      </c>
      <c r="DK8" s="297" t="e">
        <f>$G8*(1-EXP(-'1a. Spredningsmodell input'!$B$43*Mellomregninger!DB8))*(1-EXP(-'1a. Spredningsmodell input'!$B$46*Mellomregninger!DB8))</f>
        <v>#VALUE!</v>
      </c>
      <c r="DL8" s="297"/>
      <c r="DM8" s="297"/>
      <c r="DN8" s="262">
        <f t="shared" si="20"/>
        <v>20</v>
      </c>
      <c r="DO8" s="298" t="e">
        <f>($S8+$Q8*($O8+$I8*($D8*(1-Stoff!$P8))*(1-EXP(-($F8+Stoff!$L8*365)*DN8)))*(1-EXP(-($N8+Stoff!$M8*365)*DN8)))</f>
        <v>#VALUE!</v>
      </c>
      <c r="DP8" s="294" t="e">
        <f t="shared" si="21"/>
        <v>#VALUE!</v>
      </c>
      <c r="DQ8" s="296" t="e">
        <f>(DP8/1000000)*('1a. Spredningsmodell input'!$B$49)*'1a. Spredningsmodell input'!$C$35</f>
        <v>#VALUE!</v>
      </c>
      <c r="DR8" s="294" t="e">
        <f t="shared" si="9"/>
        <v>#VALUE!</v>
      </c>
      <c r="DS8" s="290" t="e">
        <f>(DR8/1000000)*('1a. Spredningsmodell input'!$B$49)*'1a. Spredningsmodell input'!$C$35</f>
        <v>#VALUE!</v>
      </c>
      <c r="DT8" s="297" t="e">
        <f>($S8)*EXP(-(Stoff!$N8*365+$U8)*DN8)+DQ8</f>
        <v>#VALUE!</v>
      </c>
      <c r="DU8" s="297" t="e">
        <f>(Stoff!$P8*$S8+DS8)*EXP(-$T8*DN8)</f>
        <v>#VALUE!</v>
      </c>
      <c r="DV8" s="297" t="e">
        <f>(DT8+DU8)*1000000000/('1a. Spredningsmodell input'!$C$36*1000)</f>
        <v>#VALUE!</v>
      </c>
      <c r="DW8" s="297" t="e">
        <f>$G8*(1-EXP(-'1a. Spredningsmodell input'!$B$43*Mellomregninger!DN8))*(1-EXP(-'1a. Spredningsmodell input'!$B$46*Mellomregninger!DN8))</f>
        <v>#VALUE!</v>
      </c>
      <c r="DX8" s="297"/>
      <c r="DY8" s="297"/>
      <c r="DZ8" s="262">
        <f t="shared" si="22"/>
        <v>100</v>
      </c>
      <c r="EA8" s="298" t="e">
        <f>($S8+$Q8*($O8+$I8*($D8*(1-Stoff!$P8))*(1-EXP(-($F8+Stoff!$L8*365)*DZ8)))*(1-EXP(-($N8+Stoff!$M8*365)*DZ8)))</f>
        <v>#VALUE!</v>
      </c>
      <c r="EB8" s="294" t="e">
        <f t="shared" si="10"/>
        <v>#VALUE!</v>
      </c>
      <c r="EC8" s="296" t="e">
        <f>(EB8/1000000)*('1a. Spredningsmodell input'!$B$49)*'1a. Spredningsmodell input'!$C$35</f>
        <v>#VALUE!</v>
      </c>
      <c r="ED8" s="294" t="e">
        <f t="shared" si="11"/>
        <v>#VALUE!</v>
      </c>
      <c r="EE8" s="290" t="e">
        <f>(ED8/1000000)*('1a. Spredningsmodell input'!$B$49)*'1a. Spredningsmodell input'!$C$35</f>
        <v>#VALUE!</v>
      </c>
      <c r="EF8" s="297" t="e">
        <f>($S8)*EXP(-(Stoff!$N8*365+$U8)*DZ8)+EC8</f>
        <v>#VALUE!</v>
      </c>
      <c r="EG8" s="297" t="e">
        <f>(Stoff!$P8*$S8+EE8)*EXP(-$T8*DZ8)</f>
        <v>#VALUE!</v>
      </c>
      <c r="EH8" s="297" t="e">
        <f>(EF8+EG8)*1000000000/('1a. Spredningsmodell input'!$C$36*1000)</f>
        <v>#VALUE!</v>
      </c>
      <c r="EI8" s="297" t="e">
        <f>$G8*(1-EXP(-'1a. Spredningsmodell input'!$B$43*Mellomregninger!DZ8))*(1-EXP(-'1a. Spredningsmodell input'!$B$46*Mellomregninger!DZ8))</f>
        <v>#VALUE!</v>
      </c>
      <c r="EJ8" s="297"/>
      <c r="EK8" s="297"/>
      <c r="EL8" s="262">
        <f t="shared" si="23"/>
        <v>1.0000000000000001E+25</v>
      </c>
      <c r="EM8" s="294" t="e">
        <f>($S8+$Q8*($O8+$I8*($D8*(1-Stoff!$P8))*(1-EXP(-($F8+Stoff!$L8*365)*EL8)))*(1-EXP(-($N8+Stoff!$M8*365)*EL8)))</f>
        <v>#VALUE!</v>
      </c>
      <c r="EN8" s="296" t="e">
        <f>($S8+$Q8*($O8+$I8*($D8*(1-Stoff!$P8))*(1-EXP(-($F8+Stoff!$L8*365)*(EL8-'1a. Spredningsmodell input'!$C$35))))*(1-EXP(-($N8+Stoff!$M8*365)*(EL8-'1a. Spredningsmodell input'!$C$35))))</f>
        <v>#VALUE!</v>
      </c>
      <c r="EO8" s="294" t="e">
        <f>IF(EL8&lt;'1a. Spredningsmodell input'!$C$35,EM8-($S8)*EXP(-(Stoff!$N8*365+$U8)*EL8),EM8-EN8)</f>
        <v>#VALUE!</v>
      </c>
      <c r="EP8" s="290" t="e">
        <f>((($D8*(Stoff!$P8))*(1-EXP(-'1a. Spredningsmodell input'!$B$43*EL8)))*(1-EXP(-'1a. Spredningsmodell input'!$B$46*EL8)))</f>
        <v>#VALUE!</v>
      </c>
      <c r="EQ8" s="294" t="e">
        <f>((($D8*(Stoff!$P8))*(1-EXP(-'1a. Spredningsmodell input'!$B$43*(EL8-'1a. Spredningsmodell input'!$C$35))))*(1-EXP(-'1a. Spredningsmodell input'!$B$46*(EL8-'1a. Spredningsmodell input'!$C$35))))</f>
        <v>#VALUE!</v>
      </c>
      <c r="ER8" s="290" t="e">
        <f>IF(EL8&lt;'1a. Spredningsmodell input'!$C$35,0,EP8-EQ8)</f>
        <v>#VALUE!</v>
      </c>
      <c r="ES8" s="297" t="e">
        <f>($S8)*EXP(-(Stoff!$N8*365+$U8)*EL8)+EO8</f>
        <v>#VALUE!</v>
      </c>
      <c r="ET8" s="297" t="e">
        <f>(Stoff!$P8*$S8+ER8)*EXP(-$T8*EL8)</f>
        <v>#VALUE!</v>
      </c>
      <c r="EU8" s="297" t="e">
        <f>(ES8+ET8)*1000000000/('1a. Spredningsmodell input'!$C$36*1000)</f>
        <v>#VALUE!</v>
      </c>
      <c r="EV8" s="262" t="e">
        <f t="shared" si="12"/>
        <v>#VALUE!</v>
      </c>
      <c r="EW8" s="299" t="e">
        <f t="shared" si="13"/>
        <v>#VALUE!</v>
      </c>
      <c r="EX8" s="262" t="e">
        <f t="shared" si="24"/>
        <v>#VALUE!</v>
      </c>
    </row>
    <row r="9" spans="1:154" x14ac:dyDescent="0.35">
      <c r="A9" s="50" t="s">
        <v>202</v>
      </c>
      <c r="B9" s="34" t="str">
        <f>IF(ISNUMBER('1c. Kons. porevann'!E9),1000*'1c. Kons. porevann'!E9,IF(ISNUMBER('1b. Kons. umettet jord'!E9),1000*'1b. Kons. umettet jord'!E9/C9,""))</f>
        <v/>
      </c>
      <c r="C9" s="244">
        <f>IF(Stoff!B9="uorganisk",Stoff!C9,Stoff!D9*'1a. Spredningsmodell input'!$C$11)</f>
        <v>110000</v>
      </c>
      <c r="D9" s="34" t="str">
        <f>IF(ISNUMBER(B9),0.000001*('1b. Kons. umettet jord'!G9*'1a. Spredningsmodell input'!$C$12+B9*0.001*'1a. Spredningsmodell input'!$C$14)*1000*'1a. Spredningsmodell input'!$B$41*'1a. Spredningsmodell input'!$C$18,"")</f>
        <v/>
      </c>
      <c r="E9" s="283">
        <f>C9*'1a. Spredningsmodell input'!$C$12/'1a. Spredningsmodell input'!$C$14+1</f>
        <v>935001</v>
      </c>
      <c r="F9" s="284">
        <f>'1a. Spredningsmodell input'!$B$43/E9</f>
        <v>1.6042763590627174E-6</v>
      </c>
      <c r="G9" s="34" t="e">
        <f>Stoff!P9*Mellomregninger!D9</f>
        <v>#VALUE!</v>
      </c>
      <c r="H9" s="283" t="e">
        <f>(D9-G9)*(F9/(F9+Stoff!L9))</f>
        <v>#VALUE!</v>
      </c>
      <c r="I9" s="283">
        <f>F9/(F9+Stoff!L9)</f>
        <v>1</v>
      </c>
      <c r="J9" s="285" t="str">
        <f>IF(B9="","",IF(ISNUMBER('1d. Kons. mettet sone'!E9),'1d. Kons. mettet sone'!E9,IF(ISNUMBER('1e. Kons. grunnvann'!E9),'1e. Kons. grunnvann'!E9*Mellomregninger!K9,0)))</f>
        <v/>
      </c>
      <c r="K9" s="286">
        <f>IF(Stoff!B9="uorganisk",Stoff!C9,Stoff!D9*'1a. Spredningsmodell input'!$C$24)</f>
        <v>110000</v>
      </c>
      <c r="L9" s="27" t="e">
        <f>IF(ISNUMBER('1e. Kons. grunnvann'!E9),1000*'1e. Kons. grunnvann'!E9,1000*J9/K9)</f>
        <v>#VALUE!</v>
      </c>
      <c r="M9" s="34">
        <f>K9*'1a. Spredningsmodell input'!$C$25/'1a. Spredningsmodell input'!$C$26+1</f>
        <v>467501</v>
      </c>
      <c r="N9" s="284">
        <f>'1a. Spredningsmodell input'!$C$26/M9</f>
        <v>8.5561314307349084E-7</v>
      </c>
      <c r="O9" s="287" t="e">
        <f>0.000000001*(J9*'1a. Spredningsmodell input'!$C$25+L9)*1000*'1a. Spredningsmodell input'!$B$45</f>
        <v>#VALUE!</v>
      </c>
      <c r="P9" s="287" t="e">
        <f>O9*Stoff!P9</f>
        <v>#VALUE!</v>
      </c>
      <c r="Q9" s="287">
        <f>N9/(N9+Stoff!M9)</f>
        <v>1</v>
      </c>
      <c r="R9" s="288">
        <f>IF(ISNUMBER('1f. Kons. resipient'!E9),'1f. Kons. resipient'!E9,0)</f>
        <v>0</v>
      </c>
      <c r="S9" s="288">
        <f>0.000000001*'1a. Spredningsmodell input'!$C$36*R9*1000</f>
        <v>0</v>
      </c>
      <c r="T9" s="288">
        <f>1/'1a. Spredningsmodell input'!$C$35</f>
        <v>1</v>
      </c>
      <c r="U9" s="288">
        <f>1/'1a. Spredningsmodell input'!$C$35</f>
        <v>1</v>
      </c>
      <c r="V9" s="300" t="e">
        <f>(1/($N9+Stoff!$L9))*(LN(($D9*$I9/($D9*$I9+$J9))*($F9+Stoff!$L9+$N9+Stoff!$M9)/($N9+Stoff!$M9)))</f>
        <v>#VALUE!</v>
      </c>
      <c r="W9" s="290" t="e">
        <f>($D9-Stoff!$P9*$D9)*EXP(-($F9+Stoff!$L9*365)*V9)</f>
        <v>#VALUE!</v>
      </c>
      <c r="X9" s="291" t="e">
        <f>(Stoff!$P9*$D9)*EXP(-'1a. Spredningsmodell input'!$B$43*V9)</f>
        <v>#VALUE!</v>
      </c>
      <c r="Y9" s="290" t="e">
        <f>($D9-Stoff!$P9*$D9-W9)*($F9/($F9+Stoff!$L9*365))</f>
        <v>#VALUE!</v>
      </c>
      <c r="Z9" s="290" t="e">
        <f>(Stoff!$P9*$D9)-X9</f>
        <v>#VALUE!</v>
      </c>
      <c r="AA9" s="290" t="e">
        <f>($O9+Y9)*EXP(-($N9+Stoff!$M9*365)*V9)</f>
        <v>#VALUE!</v>
      </c>
      <c r="AB9" s="290" t="e">
        <f>(Stoff!$P9*$O9+Z9)*EXP(-('1a. Spredningsmodell input'!$B$46)*V9)</f>
        <v>#VALUE!</v>
      </c>
      <c r="AC9" s="292" t="e">
        <f>((AA9+AB9)*1000000000)/('1a. Spredningsmodell input'!$B$45*1000)</f>
        <v>#VALUE!</v>
      </c>
      <c r="AD9" s="294" t="e">
        <f>0.001*AC9/('1a. Spredningsmodell input'!$C$25+'1a. Spredningsmodell input'!$C$26/Mellomregninger!$K9)</f>
        <v>#VALUE!</v>
      </c>
      <c r="AE9" s="294" t="e">
        <f>1000*AD9/$K9+AB9*1000000000/('1a. Spredningsmodell input'!$B$45*1000)</f>
        <v>#VALUE!</v>
      </c>
      <c r="AF9" s="294" t="e">
        <f t="shared" si="0"/>
        <v>#VALUE!</v>
      </c>
      <c r="AG9" s="294" t="e">
        <f>AB9*1000000000/('1a. Spredningsmodell input'!$B$45*1000)</f>
        <v>#VALUE!</v>
      </c>
      <c r="AH9" s="300" t="e">
        <f>(1/('1a. Spredningsmodell input'!$B$46))*(LN(($D9*Stoff!$P9/($D9*Stoff!$P9+$P9*Stoff!$P9))*('1a. Spredningsmodell input'!$B$43+'1a. Spredningsmodell input'!$B$46)/('1a. Spredningsmodell input'!$B$46)))</f>
        <v>#VALUE!</v>
      </c>
      <c r="AI9" s="290" t="e">
        <f>($D9-Stoff!$P9*$D9)*EXP(-($F9+Stoff!$L9*365)*AH9)</f>
        <v>#VALUE!</v>
      </c>
      <c r="AJ9" s="291" t="e">
        <f>(Stoff!$P9*$D9)*EXP(-'1a. Spredningsmodell input'!$B$43*AH9)</f>
        <v>#VALUE!</v>
      </c>
      <c r="AK9" s="290" t="e">
        <f>($D9-Stoff!$P9*$D9-AI9)*($F9/($F9+Stoff!$L9*365))</f>
        <v>#VALUE!</v>
      </c>
      <c r="AL9" s="290" t="e">
        <f>(Stoff!$P9*$D9)-AJ9</f>
        <v>#VALUE!</v>
      </c>
      <c r="AM9" s="290" t="e">
        <f>($O9+AK9)*EXP(-($N9+Stoff!$M9*365)*AH9)</f>
        <v>#VALUE!</v>
      </c>
      <c r="AN9" s="290" t="e">
        <f>(Stoff!$P9*$O9+AL9)*EXP(-('1a. Spredningsmodell input'!$B$46)*AH9)</f>
        <v>#VALUE!</v>
      </c>
      <c r="AO9" s="292" t="e">
        <f>((AM9+AN9)*1000000000)/('1a. Spredningsmodell input'!$B$45*1000)</f>
        <v>#VALUE!</v>
      </c>
      <c r="AP9" s="294" t="e">
        <f>0.001*AO9/('1a. Spredningsmodell input'!$C$25+'1a. Spredningsmodell input'!$C$26/Mellomregninger!$K9)</f>
        <v>#VALUE!</v>
      </c>
      <c r="AQ9" s="294" t="e">
        <f>1000*AP9/$K9+AN9*1000000000/('1a. Spredningsmodell input'!$B$45*1000)</f>
        <v>#VALUE!</v>
      </c>
      <c r="AR9" s="294" t="e">
        <f t="shared" si="1"/>
        <v>#VALUE!</v>
      </c>
      <c r="AS9" s="294" t="e">
        <f>AN9*1000000000/('1a. Spredningsmodell input'!$B$45*1000)</f>
        <v>#VALUE!</v>
      </c>
      <c r="AT9" s="295">
        <f t="shared" si="14"/>
        <v>5</v>
      </c>
      <c r="AU9" s="290" t="e">
        <f>($D9-Stoff!$P9*$D9)*EXP(-($F9+Stoff!$L9*365)*AT9)</f>
        <v>#VALUE!</v>
      </c>
      <c r="AV9" s="291" t="e">
        <f>(Stoff!$P9*$D9)*EXP(-'1a. Spredningsmodell input'!$B$43*AT9)</f>
        <v>#VALUE!</v>
      </c>
      <c r="AW9" s="290" t="e">
        <f>($D9-Stoff!$P9*$D9-AU9)*($F9/($F9+Stoff!$L9*365))</f>
        <v>#VALUE!</v>
      </c>
      <c r="AX9" s="290" t="e">
        <f>(Stoff!$P9*$D9)-AV9</f>
        <v>#VALUE!</v>
      </c>
      <c r="AY9" s="290" t="e">
        <f>($O9+AW9)*EXP(-($N9+Stoff!$M9*365)*AT9)</f>
        <v>#VALUE!</v>
      </c>
      <c r="AZ9" s="290" t="e">
        <f>(Stoff!$P9*$O9+AX9)*EXP(-('1a. Spredningsmodell input'!$B$46)*AT9)</f>
        <v>#VALUE!</v>
      </c>
      <c r="BA9" s="292" t="e">
        <f>((AY9+AZ9)*1000000000)/('1a. Spredningsmodell input'!$B$45*1000)</f>
        <v>#VALUE!</v>
      </c>
      <c r="BB9" s="294" t="e">
        <f>0.001*BA9/('1a. Spredningsmodell input'!$C$25+'1a. Spredningsmodell input'!$C$26/Mellomregninger!$K9)</f>
        <v>#VALUE!</v>
      </c>
      <c r="BC9" s="294" t="e">
        <f>1000*BB9/$K9+AZ9*1000000000/('1a. Spredningsmodell input'!$B$45*1000)</f>
        <v>#VALUE!</v>
      </c>
      <c r="BD9" s="294" t="e">
        <f t="shared" si="2"/>
        <v>#VALUE!</v>
      </c>
      <c r="BE9" s="294" t="e">
        <f>AZ9*1000000000/('1a. Spredningsmodell input'!$B$45*1000)</f>
        <v>#VALUE!</v>
      </c>
      <c r="BF9" s="295">
        <f t="shared" si="15"/>
        <v>20</v>
      </c>
      <c r="BG9" s="290" t="e">
        <f>($D9-Stoff!$P9*$D9)*EXP(-($F9+Stoff!$L9*365)*BF9)</f>
        <v>#VALUE!</v>
      </c>
      <c r="BH9" s="291" t="e">
        <f>(Stoff!$P9*$D9)*EXP(-'1a. Spredningsmodell input'!$B$43*BF9)</f>
        <v>#VALUE!</v>
      </c>
      <c r="BI9" s="290" t="e">
        <f>($D9-Stoff!$P9*$D9-BG9)*($F9/($F9+Stoff!$L9*365))</f>
        <v>#VALUE!</v>
      </c>
      <c r="BJ9" s="290" t="e">
        <f>(Stoff!$P9*$D9)-BH9</f>
        <v>#VALUE!</v>
      </c>
      <c r="BK9" s="290" t="e">
        <f>($O9+BI9)*EXP(-($N9+Stoff!$M9*365)*BF9)</f>
        <v>#VALUE!</v>
      </c>
      <c r="BL9" s="290" t="e">
        <f>(Stoff!$P9*$O9+BJ9)*EXP(-('1a. Spredningsmodell input'!$B$46)*BF9)</f>
        <v>#VALUE!</v>
      </c>
      <c r="BM9" s="292" t="e">
        <f>((BK9+BL9)*1000000000)/('1a. Spredningsmodell input'!$B$45*1000)</f>
        <v>#VALUE!</v>
      </c>
      <c r="BN9" s="294" t="e">
        <f>0.001*BM9/('1a. Spredningsmodell input'!$C$25+'1a. Spredningsmodell input'!$C$26/Mellomregninger!$K9)</f>
        <v>#VALUE!</v>
      </c>
      <c r="BO9" s="294" t="e">
        <f>1000*BN9/$K9+BL9*1000000000/('1a. Spredningsmodell input'!$B$45*1000)</f>
        <v>#VALUE!</v>
      </c>
      <c r="BP9" s="294" t="e">
        <f t="shared" si="3"/>
        <v>#VALUE!</v>
      </c>
      <c r="BQ9" s="294" t="e">
        <f>BL9*1000000000/('1a. Spredningsmodell input'!$B$45*1000)</f>
        <v>#VALUE!</v>
      </c>
      <c r="BR9" s="295">
        <f t="shared" si="16"/>
        <v>100</v>
      </c>
      <c r="BS9" s="290" t="e">
        <f>($D9-Stoff!$P9*$D9)*EXP(-($F9+Stoff!$L9*365)*BR9)</f>
        <v>#VALUE!</v>
      </c>
      <c r="BT9" s="291" t="e">
        <f>(Stoff!$P9*$D9)*EXP(-'1a. Spredningsmodell input'!$B$43*BR9)</f>
        <v>#VALUE!</v>
      </c>
      <c r="BU9" s="290" t="e">
        <f>($D9-Stoff!$P9*$D9-BS9)*($F9/($F9+Stoff!$L9*365))</f>
        <v>#VALUE!</v>
      </c>
      <c r="BV9" s="290" t="e">
        <f>(Stoff!$P9*$D9)-BT9</f>
        <v>#VALUE!</v>
      </c>
      <c r="BW9" s="290" t="e">
        <f>($O9+BU9)*EXP(-($N9+Stoff!$M9*365)*BR9)</f>
        <v>#VALUE!</v>
      </c>
      <c r="BX9" s="290" t="e">
        <f>(Stoff!$P9*$O9+BV9)*EXP(-('1a. Spredningsmodell input'!$B$46)*BR9)</f>
        <v>#VALUE!</v>
      </c>
      <c r="BY9" s="292" t="e">
        <f>((BW9+BX9)*1000000000)/('1a. Spredningsmodell input'!$B$45*1000)</f>
        <v>#VALUE!</v>
      </c>
      <c r="BZ9" s="294" t="e">
        <f>0.001*BY9/('1a. Spredningsmodell input'!$C$25+'1a. Spredningsmodell input'!$C$26/Mellomregninger!$K9)</f>
        <v>#VALUE!</v>
      </c>
      <c r="CA9" s="294" t="e">
        <f>1000*BZ9/$K9+BX9*1000000000/('1a. Spredningsmodell input'!$B$45*1000)</f>
        <v>#VALUE!</v>
      </c>
      <c r="CB9" s="294" t="e">
        <f t="shared" si="4"/>
        <v>#VALUE!</v>
      </c>
      <c r="CC9" s="294" t="e">
        <f>BX9*1000000000/('1a. Spredningsmodell input'!$B$45*1000)</f>
        <v>#VALUE!</v>
      </c>
      <c r="CD9" s="294" t="e">
        <f>V9+'1a. Spredningsmodell input'!$C$35</f>
        <v>#VALUE!</v>
      </c>
      <c r="CE9" s="294" t="e">
        <f>($S9+$Q9*($O9+$I9*($D9*(1-Stoff!$P9))*(1-EXP(-($F9+Stoff!$L9*365)*CD9)))*(1-EXP(-($N9+Stoff!$M9*365)*CD9)))</f>
        <v>#VALUE!</v>
      </c>
      <c r="CF9" s="294" t="e">
        <f t="shared" si="5"/>
        <v>#VALUE!</v>
      </c>
      <c r="CG9" s="296" t="e">
        <f>(CF9/1000000)*'1a. Spredningsmodell input'!$B$49*'1a. Spredningsmodell input'!$C$35</f>
        <v>#VALUE!</v>
      </c>
      <c r="CH9" s="294" t="e">
        <f t="shared" si="17"/>
        <v>#VALUE!</v>
      </c>
      <c r="CI9" s="290" t="e">
        <f>(CH9/1000000)*'1a. Spredningsmodell input'!$B$49*'1a. Spredningsmodell input'!$C$35</f>
        <v>#VALUE!</v>
      </c>
      <c r="CJ9" s="297" t="e">
        <f>($S9)*EXP(-(Stoff!$N9*365+$U9)*CD9)+CG9</f>
        <v>#VALUE!</v>
      </c>
      <c r="CK9" s="297" t="e">
        <f>(Stoff!$P9*$S9+CI9)*EXP(-$T9*CD9)</f>
        <v>#VALUE!</v>
      </c>
      <c r="CL9" s="297" t="e">
        <f>(CJ9+CK9)*1000000000/('1a. Spredningsmodell input'!$C$36*1000)</f>
        <v>#VALUE!</v>
      </c>
      <c r="CM9" s="297" t="e">
        <f>$G9*(1-EXP(-'1a. Spredningsmodell input'!$B$43*Mellomregninger!CD9))*(1-EXP(-'1a. Spredningsmodell input'!$B$46*Mellomregninger!CD9))</f>
        <v>#VALUE!</v>
      </c>
      <c r="CN9" s="297"/>
      <c r="CO9" s="297"/>
      <c r="CP9" s="290">
        <f>IF(ISNUMBER(AH9),AH9+'1a. Spredningsmodell input'!$C$35,'1a. Spredningsmodell input'!$C$35)</f>
        <v>1</v>
      </c>
      <c r="CQ9" s="294" t="e">
        <f>($S9+$Q9*($O9+$I9*($D9*(1-Stoff!$P9))*(1-EXP(-($F9+Stoff!$L9*365)*CP9)))*(1-EXP(-($N9+Stoff!$M9*365)*CP9)))</f>
        <v>#VALUE!</v>
      </c>
      <c r="CR9" s="294" t="e">
        <f t="shared" si="6"/>
        <v>#VALUE!</v>
      </c>
      <c r="CS9" s="296" t="e">
        <f>(CR9/1000000)*('1a. Spredningsmodell input'!$B$49*'1a. Spredningsmodell input'!$C$35)</f>
        <v>#VALUE!</v>
      </c>
      <c r="CT9" s="294" t="e">
        <f t="shared" si="7"/>
        <v>#VALUE!</v>
      </c>
      <c r="CU9" s="290" t="e">
        <f>(CT9/1000000)*('1a. Spredningsmodell input'!$B$49)*'1a. Spredningsmodell input'!$C$35</f>
        <v>#VALUE!</v>
      </c>
      <c r="CV9" s="297" t="e">
        <f>($S9)*EXP(-(Stoff!$N9*365+$U9)*CP9)+CS9</f>
        <v>#VALUE!</v>
      </c>
      <c r="CW9" s="297" t="e">
        <f>(Stoff!$P9*$S9+CU9)*EXP(-$T9*CP9)</f>
        <v>#VALUE!</v>
      </c>
      <c r="CX9" s="297">
        <f>IF(ISERROR(CV9),0,(CV9+CW9)*1000000000/('1a. Spredningsmodell input'!$C$36*1000))</f>
        <v>0</v>
      </c>
      <c r="CY9" s="297" t="e">
        <f>$G9*(1-EXP(-'1a. Spredningsmodell input'!$B$43*Mellomregninger!CP9))*(1-EXP(-'1a. Spredningsmodell input'!$B$46*Mellomregninger!CP9))</f>
        <v>#VALUE!</v>
      </c>
      <c r="CZ9" s="297"/>
      <c r="DA9" s="297"/>
      <c r="DB9" s="262">
        <f t="shared" si="18"/>
        <v>5</v>
      </c>
      <c r="DC9" s="298" t="e">
        <f>($S9+$Q9*($O9+$I9*($D9*(1-Stoff!$P9))*(1-EXP(-($F9+Stoff!$L9*365)*DB9)))*(1-EXP(-($N9+Stoff!$M9*365)*DB9)))</f>
        <v>#VALUE!</v>
      </c>
      <c r="DD9" s="294" t="e">
        <f t="shared" si="8"/>
        <v>#VALUE!</v>
      </c>
      <c r="DE9" s="296" t="e">
        <f>(DD9/1000000)*('1a. Spredningsmodell input'!$B$49)*'1a. Spredningsmodell input'!$C$35</f>
        <v>#VALUE!</v>
      </c>
      <c r="DF9" s="294" t="e">
        <f t="shared" si="19"/>
        <v>#VALUE!</v>
      </c>
      <c r="DG9" s="290" t="e">
        <f>(DF9/1000000)*('1a. Spredningsmodell input'!$B$49)*'1a. Spredningsmodell input'!$C$35</f>
        <v>#VALUE!</v>
      </c>
      <c r="DH9" s="297" t="e">
        <f>($S9)*EXP(-(Stoff!$N9*365+$U9)*DB9)+DE9</f>
        <v>#VALUE!</v>
      </c>
      <c r="DI9" s="297" t="e">
        <f>(Stoff!$P9*$S9+DG9)*EXP(-$T9*DB9)</f>
        <v>#VALUE!</v>
      </c>
      <c r="DJ9" s="297" t="e">
        <f>(DH9+DI9)*1000000000/('1a. Spredningsmodell input'!$C$36*1000)</f>
        <v>#VALUE!</v>
      </c>
      <c r="DK9" s="297" t="e">
        <f>$G9*(1-EXP(-'1a. Spredningsmodell input'!$B$43*Mellomregninger!DB9))*(1-EXP(-'1a. Spredningsmodell input'!$B$46*Mellomregninger!DB9))</f>
        <v>#VALUE!</v>
      </c>
      <c r="DL9" s="297"/>
      <c r="DM9" s="297"/>
      <c r="DN9" s="262">
        <f t="shared" si="20"/>
        <v>20</v>
      </c>
      <c r="DO9" s="298" t="e">
        <f>($S9+$Q9*($O9+$I9*($D9*(1-Stoff!$P9))*(1-EXP(-($F9+Stoff!$L9*365)*DN9)))*(1-EXP(-($N9+Stoff!$M9*365)*DN9)))</f>
        <v>#VALUE!</v>
      </c>
      <c r="DP9" s="294" t="e">
        <f t="shared" si="21"/>
        <v>#VALUE!</v>
      </c>
      <c r="DQ9" s="296" t="e">
        <f>(DP9/1000000)*('1a. Spredningsmodell input'!$B$49)*'1a. Spredningsmodell input'!$C$35</f>
        <v>#VALUE!</v>
      </c>
      <c r="DR9" s="294" t="e">
        <f t="shared" si="9"/>
        <v>#VALUE!</v>
      </c>
      <c r="DS9" s="290" t="e">
        <f>(DR9/1000000)*('1a. Spredningsmodell input'!$B$49)*'1a. Spredningsmodell input'!$C$35</f>
        <v>#VALUE!</v>
      </c>
      <c r="DT9" s="297" t="e">
        <f>($S9)*EXP(-(Stoff!$N9*365+$U9)*DN9)+DQ9</f>
        <v>#VALUE!</v>
      </c>
      <c r="DU9" s="297" t="e">
        <f>(Stoff!$P9*$S9+DS9)*EXP(-$T9*DN9)</f>
        <v>#VALUE!</v>
      </c>
      <c r="DV9" s="297" t="e">
        <f>(DT9+DU9)*1000000000/('1a. Spredningsmodell input'!$C$36*1000)</f>
        <v>#VALUE!</v>
      </c>
      <c r="DW9" s="297" t="e">
        <f>$G9*(1-EXP(-'1a. Spredningsmodell input'!$B$43*Mellomregninger!DN9))*(1-EXP(-'1a. Spredningsmodell input'!$B$46*Mellomregninger!DN9))</f>
        <v>#VALUE!</v>
      </c>
      <c r="DX9" s="297"/>
      <c r="DY9" s="297"/>
      <c r="DZ9" s="262">
        <f t="shared" si="22"/>
        <v>100</v>
      </c>
      <c r="EA9" s="298" t="e">
        <f>($S9+$Q9*($O9+$I9*($D9*(1-Stoff!$P9))*(1-EXP(-($F9+Stoff!$L9*365)*DZ9)))*(1-EXP(-($N9+Stoff!$M9*365)*DZ9)))</f>
        <v>#VALUE!</v>
      </c>
      <c r="EB9" s="294" t="e">
        <f t="shared" si="10"/>
        <v>#VALUE!</v>
      </c>
      <c r="EC9" s="296" t="e">
        <f>(EB9/1000000)*('1a. Spredningsmodell input'!$B$49)*'1a. Spredningsmodell input'!$C$35</f>
        <v>#VALUE!</v>
      </c>
      <c r="ED9" s="294" t="e">
        <f t="shared" si="11"/>
        <v>#VALUE!</v>
      </c>
      <c r="EE9" s="290" t="e">
        <f>(ED9/1000000)*('1a. Spredningsmodell input'!$B$49)*'1a. Spredningsmodell input'!$C$35</f>
        <v>#VALUE!</v>
      </c>
      <c r="EF9" s="297" t="e">
        <f>($S9)*EXP(-(Stoff!$N9*365+$U9)*DZ9)+EC9</f>
        <v>#VALUE!</v>
      </c>
      <c r="EG9" s="297" t="e">
        <f>(Stoff!$P9*$S9+EE9)*EXP(-$T9*DZ9)</f>
        <v>#VALUE!</v>
      </c>
      <c r="EH9" s="297" t="e">
        <f>(EF9+EG9)*1000000000/('1a. Spredningsmodell input'!$C$36*1000)</f>
        <v>#VALUE!</v>
      </c>
      <c r="EI9" s="297" t="e">
        <f>$G9*(1-EXP(-'1a. Spredningsmodell input'!$B$43*Mellomregninger!DZ9))*(1-EXP(-'1a. Spredningsmodell input'!$B$46*Mellomregninger!DZ9))</f>
        <v>#VALUE!</v>
      </c>
      <c r="EJ9" s="297"/>
      <c r="EK9" s="297"/>
      <c r="EL9" s="262">
        <f t="shared" si="23"/>
        <v>1.0000000000000001E+25</v>
      </c>
      <c r="EM9" s="294" t="e">
        <f>($S9+$Q9*($O9+$I9*($D9*(1-Stoff!$P9))*(1-EXP(-($F9+Stoff!$L9*365)*EL9)))*(1-EXP(-($N9+Stoff!$M9*365)*EL9)))</f>
        <v>#VALUE!</v>
      </c>
      <c r="EN9" s="296" t="e">
        <f>($S9+$Q9*($O9+$I9*($D9*(1-Stoff!$P9))*(1-EXP(-($F9+Stoff!$L9*365)*(EL9-'1a. Spredningsmodell input'!$C$35))))*(1-EXP(-($N9+Stoff!$M9*365)*(EL9-'1a. Spredningsmodell input'!$C$35))))</f>
        <v>#VALUE!</v>
      </c>
      <c r="EO9" s="294" t="e">
        <f>IF(EL9&lt;'1a. Spredningsmodell input'!$C$35,EM9-($S9)*EXP(-(Stoff!$N9*365+$U9)*EL9),EM9-EN9)</f>
        <v>#VALUE!</v>
      </c>
      <c r="EP9" s="290" t="e">
        <f>((($D9*(Stoff!$P9))*(1-EXP(-'1a. Spredningsmodell input'!$B$43*EL9)))*(1-EXP(-'1a. Spredningsmodell input'!$B$46*EL9)))</f>
        <v>#VALUE!</v>
      </c>
      <c r="EQ9" s="294" t="e">
        <f>((($D9*(Stoff!$P9))*(1-EXP(-'1a. Spredningsmodell input'!$B$43*(EL9-'1a. Spredningsmodell input'!$C$35))))*(1-EXP(-'1a. Spredningsmodell input'!$B$46*(EL9-'1a. Spredningsmodell input'!$C$35))))</f>
        <v>#VALUE!</v>
      </c>
      <c r="ER9" s="290" t="e">
        <f>IF(EL9&lt;'1a. Spredningsmodell input'!$C$35,0,EP9-EQ9)</f>
        <v>#VALUE!</v>
      </c>
      <c r="ES9" s="297" t="e">
        <f>($S9)*EXP(-(Stoff!$N9*365+$U9)*EL9)+EO9</f>
        <v>#VALUE!</v>
      </c>
      <c r="ET9" s="297" t="e">
        <f>(Stoff!$P9*$S9+ER9)*EXP(-$T9*EL9)</f>
        <v>#VALUE!</v>
      </c>
      <c r="EU9" s="297" t="e">
        <f>(ES9+ET9)*1000000000/('1a. Spredningsmodell input'!$C$36*1000)</f>
        <v>#VALUE!</v>
      </c>
      <c r="EV9" s="262" t="e">
        <f t="shared" si="12"/>
        <v>#VALUE!</v>
      </c>
      <c r="EW9" s="299" t="e">
        <f t="shared" si="13"/>
        <v>#VALUE!</v>
      </c>
      <c r="EX9" s="262" t="e">
        <f t="shared" si="24"/>
        <v>#VALUE!</v>
      </c>
    </row>
    <row r="10" spans="1:154" x14ac:dyDescent="0.35">
      <c r="A10" s="50" t="s">
        <v>201</v>
      </c>
      <c r="B10" s="34" t="str">
        <f>IF(ISNUMBER('1c. Kons. porevann'!E10),1000*'1c. Kons. porevann'!E10,IF(ISNUMBER('1b. Kons. umettet jord'!E10),1000*'1b. Kons. umettet jord'!E10/C10,""))</f>
        <v/>
      </c>
      <c r="C10" s="244">
        <f>IF(Stoff!B10="uorganisk",Stoff!C10,Stoff!D10*'1a. Spredningsmodell input'!$C$11)</f>
        <v>11000</v>
      </c>
      <c r="D10" s="34" t="str">
        <f>IF(ISNUMBER(B10),0.000001*('1b. Kons. umettet jord'!G10*'1a. Spredningsmodell input'!$C$12+B10*0.001*'1a. Spredningsmodell input'!$C$14)*1000*'1a. Spredningsmodell input'!$B$41*'1a. Spredningsmodell input'!$C$18,"")</f>
        <v/>
      </c>
      <c r="E10" s="283">
        <f>C10*'1a. Spredningsmodell input'!$C$12/'1a. Spredningsmodell input'!$C$14+1</f>
        <v>93501</v>
      </c>
      <c r="F10" s="284">
        <f>'1a. Spredningsmodell input'!$B$43/E10</f>
        <v>1.6042609169955398E-5</v>
      </c>
      <c r="G10" s="34" t="e">
        <f>Stoff!P10*Mellomregninger!D10</f>
        <v>#VALUE!</v>
      </c>
      <c r="H10" s="283" t="e">
        <f>(D10-G10)*(F10/(F10+Stoff!L10))</f>
        <v>#VALUE!</v>
      </c>
      <c r="I10" s="283">
        <f>F10/(F10+Stoff!L10)</f>
        <v>1</v>
      </c>
      <c r="J10" s="285" t="str">
        <f>IF(B10="","",IF(ISNUMBER('1d. Kons. mettet sone'!E10),'1d. Kons. mettet sone'!E10,IF(ISNUMBER('1e. Kons. grunnvann'!E10),'1e. Kons. grunnvann'!E10*Mellomregninger!K10,0)))</f>
        <v/>
      </c>
      <c r="K10" s="286">
        <f>IF(Stoff!B10="uorganisk",Stoff!C10,Stoff!D10*'1a. Spredningsmodell input'!$C$24)</f>
        <v>11000</v>
      </c>
      <c r="L10" s="27" t="e">
        <f>IF(ISNUMBER('1e. Kons. grunnvann'!E10),1000*'1e. Kons. grunnvann'!E10,1000*J10/K10)</f>
        <v>#VALUE!</v>
      </c>
      <c r="M10" s="34">
        <f>K10*'1a. Spredningsmodell input'!$C$25/'1a. Spredningsmodell input'!$C$26+1</f>
        <v>46751</v>
      </c>
      <c r="N10" s="284">
        <f>'1a. Spredningsmodell input'!$C$26/M10</f>
        <v>8.5559667172894695E-6</v>
      </c>
      <c r="O10" s="287" t="e">
        <f>0.000000001*(J10*'1a. Spredningsmodell input'!$C$25+L10)*1000*'1a. Spredningsmodell input'!$B$45</f>
        <v>#VALUE!</v>
      </c>
      <c r="P10" s="287" t="e">
        <f>O10*Stoff!P10</f>
        <v>#VALUE!</v>
      </c>
      <c r="Q10" s="287">
        <f>N10/(N10+Stoff!M10)</f>
        <v>1</v>
      </c>
      <c r="R10" s="288">
        <f>IF(ISNUMBER('1f. Kons. resipient'!E10),'1f. Kons. resipient'!E10,0)</f>
        <v>0</v>
      </c>
      <c r="S10" s="288">
        <f>0.000000001*'1a. Spredningsmodell input'!$C$36*R10*1000</f>
        <v>0</v>
      </c>
      <c r="T10" s="288">
        <f>1/'1a. Spredningsmodell input'!$C$35</f>
        <v>1</v>
      </c>
      <c r="U10" s="288">
        <f>1/'1a. Spredningsmodell input'!$C$35</f>
        <v>1</v>
      </c>
      <c r="V10" s="300" t="e">
        <f>(1/($N10+Stoff!$L10))*(LN(($D10*$I10/($D10*$I10+$J10))*($F10+Stoff!$L10+$N10+Stoff!$M10)/($N10+Stoff!$M10)))</f>
        <v>#VALUE!</v>
      </c>
      <c r="W10" s="290" t="e">
        <f>($D10-Stoff!$P10*$D10)*EXP(-($F10+Stoff!$L10*365)*V10)</f>
        <v>#VALUE!</v>
      </c>
      <c r="X10" s="291" t="e">
        <f>(Stoff!$P10*$D10)*EXP(-'1a. Spredningsmodell input'!$B$43*V10)</f>
        <v>#VALUE!</v>
      </c>
      <c r="Y10" s="290" t="e">
        <f>($D10-Stoff!$P10*$D10-W10)*($F10/($F10+Stoff!$L10*365))</f>
        <v>#VALUE!</v>
      </c>
      <c r="Z10" s="290" t="e">
        <f>(Stoff!$P10*$D10)-X10</f>
        <v>#VALUE!</v>
      </c>
      <c r="AA10" s="290" t="e">
        <f>($O10+Y10)*EXP(-($N10+Stoff!$M10*365)*V10)</f>
        <v>#VALUE!</v>
      </c>
      <c r="AB10" s="290" t="e">
        <f>(Stoff!$P10*$O10+Z10)*EXP(-('1a. Spredningsmodell input'!$B$46)*V10)</f>
        <v>#VALUE!</v>
      </c>
      <c r="AC10" s="292" t="e">
        <f>((AA10+AB10)*1000000000)/('1a. Spredningsmodell input'!$B$45*1000)</f>
        <v>#VALUE!</v>
      </c>
      <c r="AD10" s="294" t="e">
        <f>0.001*AC10/('1a. Spredningsmodell input'!$C$25+'1a. Spredningsmodell input'!$C$26/Mellomregninger!$K10)</f>
        <v>#VALUE!</v>
      </c>
      <c r="AE10" s="294" t="e">
        <f>1000*AD10/$K10+AB10*1000000000/('1a. Spredningsmodell input'!$B$45*1000)</f>
        <v>#VALUE!</v>
      </c>
      <c r="AF10" s="294" t="e">
        <f t="shared" si="0"/>
        <v>#VALUE!</v>
      </c>
      <c r="AG10" s="294" t="e">
        <f>AB10*1000000000/('1a. Spredningsmodell input'!$B$45*1000)</f>
        <v>#VALUE!</v>
      </c>
      <c r="AH10" s="300" t="e">
        <f>(1/('1a. Spredningsmodell input'!$B$46))*(LN(($D10*Stoff!$P10/($D10*Stoff!$P10+$P10*Stoff!$P10))*('1a. Spredningsmodell input'!$B$43+'1a. Spredningsmodell input'!$B$46)/('1a. Spredningsmodell input'!$B$46)))</f>
        <v>#VALUE!</v>
      </c>
      <c r="AI10" s="290" t="e">
        <f>($D10-Stoff!$P10*$D10)*EXP(-($F10+Stoff!$L10*365)*AH10)</f>
        <v>#VALUE!</v>
      </c>
      <c r="AJ10" s="291" t="e">
        <f>(Stoff!$P10*$D10)*EXP(-'1a. Spredningsmodell input'!$B$43*AH10)</f>
        <v>#VALUE!</v>
      </c>
      <c r="AK10" s="290" t="e">
        <f>($D10-Stoff!$P10*$D10-AI10)*($F10/($F10+Stoff!$L10*365))</f>
        <v>#VALUE!</v>
      </c>
      <c r="AL10" s="290" t="e">
        <f>(Stoff!$P10*$D10)-AJ10</f>
        <v>#VALUE!</v>
      </c>
      <c r="AM10" s="290" t="e">
        <f>($O10+AK10)*EXP(-($N10+Stoff!$M10*365)*AH10)</f>
        <v>#VALUE!</v>
      </c>
      <c r="AN10" s="290" t="e">
        <f>(Stoff!$P10*$O10+AL10)*EXP(-('1a. Spredningsmodell input'!$B$46)*AH10)</f>
        <v>#VALUE!</v>
      </c>
      <c r="AO10" s="292" t="e">
        <f>((AM10+AN10)*1000000000)/('1a. Spredningsmodell input'!$B$45*1000)</f>
        <v>#VALUE!</v>
      </c>
      <c r="AP10" s="294" t="e">
        <f>0.001*AO10/('1a. Spredningsmodell input'!$C$25+'1a. Spredningsmodell input'!$C$26/Mellomregninger!$K10)</f>
        <v>#VALUE!</v>
      </c>
      <c r="AQ10" s="294" t="e">
        <f>1000*AP10/$K10+AN10*1000000000/('1a. Spredningsmodell input'!$B$45*1000)</f>
        <v>#VALUE!</v>
      </c>
      <c r="AR10" s="294" t="e">
        <f t="shared" si="1"/>
        <v>#VALUE!</v>
      </c>
      <c r="AS10" s="294" t="e">
        <f>AN10*1000000000/('1a. Spredningsmodell input'!$B$45*1000)</f>
        <v>#VALUE!</v>
      </c>
      <c r="AT10" s="295">
        <f t="shared" si="14"/>
        <v>5</v>
      </c>
      <c r="AU10" s="290" t="e">
        <f>($D10-Stoff!$P10*$D10)*EXP(-($F10+Stoff!$L10*365)*AT10)</f>
        <v>#VALUE!</v>
      </c>
      <c r="AV10" s="291" t="e">
        <f>(Stoff!$P10*$D10)*EXP(-'1a. Spredningsmodell input'!$B$43*AT10)</f>
        <v>#VALUE!</v>
      </c>
      <c r="AW10" s="290" t="e">
        <f>($D10-Stoff!$P10*$D10-AU10)*($F10/($F10+Stoff!$L10*365))</f>
        <v>#VALUE!</v>
      </c>
      <c r="AX10" s="290" t="e">
        <f>(Stoff!$P10*$D10)-AV10</f>
        <v>#VALUE!</v>
      </c>
      <c r="AY10" s="290" t="e">
        <f>($O10+AW10)*EXP(-($N10+Stoff!$M10*365)*AT10)</f>
        <v>#VALUE!</v>
      </c>
      <c r="AZ10" s="290" t="e">
        <f>(Stoff!$P10*$O10+AX10)*EXP(-('1a. Spredningsmodell input'!$B$46)*AT10)</f>
        <v>#VALUE!</v>
      </c>
      <c r="BA10" s="292" t="e">
        <f>((AY10+AZ10)*1000000000)/('1a. Spredningsmodell input'!$B$45*1000)</f>
        <v>#VALUE!</v>
      </c>
      <c r="BB10" s="294" t="e">
        <f>0.001*BA10/('1a. Spredningsmodell input'!$C$25+'1a. Spredningsmodell input'!$C$26/Mellomregninger!$K10)</f>
        <v>#VALUE!</v>
      </c>
      <c r="BC10" s="294" t="e">
        <f>1000*BB10/$K10+AZ10*1000000000/('1a. Spredningsmodell input'!$B$45*1000)</f>
        <v>#VALUE!</v>
      </c>
      <c r="BD10" s="294" t="e">
        <f t="shared" si="2"/>
        <v>#VALUE!</v>
      </c>
      <c r="BE10" s="294" t="e">
        <f>AZ10*1000000000/('1a. Spredningsmodell input'!$B$45*1000)</f>
        <v>#VALUE!</v>
      </c>
      <c r="BF10" s="295">
        <f t="shared" si="15"/>
        <v>20</v>
      </c>
      <c r="BG10" s="290" t="e">
        <f>($D10-Stoff!$P10*$D10)*EXP(-($F10+Stoff!$L10*365)*BF10)</f>
        <v>#VALUE!</v>
      </c>
      <c r="BH10" s="291" t="e">
        <f>(Stoff!$P10*$D10)*EXP(-'1a. Spredningsmodell input'!$B$43*BF10)</f>
        <v>#VALUE!</v>
      </c>
      <c r="BI10" s="290" t="e">
        <f>($D10-Stoff!$P10*$D10-BG10)*($F10/($F10+Stoff!$L10*365))</f>
        <v>#VALUE!</v>
      </c>
      <c r="BJ10" s="290" t="e">
        <f>(Stoff!$P10*$D10)-BH10</f>
        <v>#VALUE!</v>
      </c>
      <c r="BK10" s="290" t="e">
        <f>($O10+BI10)*EXP(-($N10+Stoff!$M10*365)*BF10)</f>
        <v>#VALUE!</v>
      </c>
      <c r="BL10" s="290" t="e">
        <f>(Stoff!$P10*$O10+BJ10)*EXP(-('1a. Spredningsmodell input'!$B$46)*BF10)</f>
        <v>#VALUE!</v>
      </c>
      <c r="BM10" s="292" t="e">
        <f>((BK10+BL10)*1000000000)/('1a. Spredningsmodell input'!$B$45*1000)</f>
        <v>#VALUE!</v>
      </c>
      <c r="BN10" s="294" t="e">
        <f>0.001*BM10/('1a. Spredningsmodell input'!$C$25+'1a. Spredningsmodell input'!$C$26/Mellomregninger!$K10)</f>
        <v>#VALUE!</v>
      </c>
      <c r="BO10" s="294" t="e">
        <f>1000*BN10/$K10+BL10*1000000000/('1a. Spredningsmodell input'!$B$45*1000)</f>
        <v>#VALUE!</v>
      </c>
      <c r="BP10" s="294" t="e">
        <f t="shared" si="3"/>
        <v>#VALUE!</v>
      </c>
      <c r="BQ10" s="294" t="e">
        <f>BL10*1000000000/('1a. Spredningsmodell input'!$B$45*1000)</f>
        <v>#VALUE!</v>
      </c>
      <c r="BR10" s="295">
        <f t="shared" si="16"/>
        <v>100</v>
      </c>
      <c r="BS10" s="290" t="e">
        <f>($D10-Stoff!$P10*$D10)*EXP(-($F10+Stoff!$L10*365)*BR10)</f>
        <v>#VALUE!</v>
      </c>
      <c r="BT10" s="291" t="e">
        <f>(Stoff!$P10*$D10)*EXP(-'1a. Spredningsmodell input'!$B$43*BR10)</f>
        <v>#VALUE!</v>
      </c>
      <c r="BU10" s="290" t="e">
        <f>($D10-Stoff!$P10*$D10-BS10)*($F10/($F10+Stoff!$L10*365))</f>
        <v>#VALUE!</v>
      </c>
      <c r="BV10" s="290" t="e">
        <f>(Stoff!$P10*$D10)-BT10</f>
        <v>#VALUE!</v>
      </c>
      <c r="BW10" s="290" t="e">
        <f>($O10+BU10)*EXP(-($N10+Stoff!$M10*365)*BR10)</f>
        <v>#VALUE!</v>
      </c>
      <c r="BX10" s="290" t="e">
        <f>(Stoff!$P10*$O10+BV10)*EXP(-('1a. Spredningsmodell input'!$B$46)*BR10)</f>
        <v>#VALUE!</v>
      </c>
      <c r="BY10" s="292" t="e">
        <f>((BW10+BX10)*1000000000)/('1a. Spredningsmodell input'!$B$45*1000)</f>
        <v>#VALUE!</v>
      </c>
      <c r="BZ10" s="294" t="e">
        <f>0.001*BY10/('1a. Spredningsmodell input'!$C$25+'1a. Spredningsmodell input'!$C$26/Mellomregninger!$K10)</f>
        <v>#VALUE!</v>
      </c>
      <c r="CA10" s="294" t="e">
        <f>1000*BZ10/$K10+BX10*1000000000/('1a. Spredningsmodell input'!$B$45*1000)</f>
        <v>#VALUE!</v>
      </c>
      <c r="CB10" s="294" t="e">
        <f t="shared" si="4"/>
        <v>#VALUE!</v>
      </c>
      <c r="CC10" s="294" t="e">
        <f>BX10*1000000000/('1a. Spredningsmodell input'!$B$45*1000)</f>
        <v>#VALUE!</v>
      </c>
      <c r="CD10" s="294" t="e">
        <f>V10+'1a. Spredningsmodell input'!$C$35</f>
        <v>#VALUE!</v>
      </c>
      <c r="CE10" s="294" t="e">
        <f>($S10+$Q10*($O10+$I10*($D10*(1-Stoff!$P10))*(1-EXP(-($F10+Stoff!$L10*365)*CD10)))*(1-EXP(-($N10+Stoff!$M10*365)*CD10)))</f>
        <v>#VALUE!</v>
      </c>
      <c r="CF10" s="294" t="e">
        <f t="shared" si="5"/>
        <v>#VALUE!</v>
      </c>
      <c r="CG10" s="296" t="e">
        <f>(CF10/1000000)*'1a. Spredningsmodell input'!$B$49*'1a. Spredningsmodell input'!$C$35</f>
        <v>#VALUE!</v>
      </c>
      <c r="CH10" s="294" t="e">
        <f t="shared" si="17"/>
        <v>#VALUE!</v>
      </c>
      <c r="CI10" s="290" t="e">
        <f>(CH10/1000000)*'1a. Spredningsmodell input'!$B$49*'1a. Spredningsmodell input'!$C$35</f>
        <v>#VALUE!</v>
      </c>
      <c r="CJ10" s="297" t="e">
        <f>($S10)*EXP(-(Stoff!$N10*365+$U10)*CD10)+CG10</f>
        <v>#VALUE!</v>
      </c>
      <c r="CK10" s="297" t="e">
        <f>(Stoff!$P10*$S10+CI10)*EXP(-$T10*CD10)</f>
        <v>#VALUE!</v>
      </c>
      <c r="CL10" s="297" t="e">
        <f>(CJ10+CK10)*1000000000/('1a. Spredningsmodell input'!$C$36*1000)</f>
        <v>#VALUE!</v>
      </c>
      <c r="CM10" s="297" t="e">
        <f>$G10*(1-EXP(-'1a. Spredningsmodell input'!$B$43*Mellomregninger!CD10))*(1-EXP(-'1a. Spredningsmodell input'!$B$46*Mellomregninger!CD10))</f>
        <v>#VALUE!</v>
      </c>
      <c r="CN10" s="297"/>
      <c r="CO10" s="297"/>
      <c r="CP10" s="290">
        <f>IF(ISNUMBER(AH10),AH10+'1a. Spredningsmodell input'!$C$35,'1a. Spredningsmodell input'!$C$35)</f>
        <v>1</v>
      </c>
      <c r="CQ10" s="294" t="e">
        <f>($S10+$Q10*($O10+$I10*($D10*(1-Stoff!$P10))*(1-EXP(-($F10+Stoff!$L10*365)*CP10)))*(1-EXP(-($N10+Stoff!$M10*365)*CP10)))</f>
        <v>#VALUE!</v>
      </c>
      <c r="CR10" s="294" t="e">
        <f t="shared" si="6"/>
        <v>#VALUE!</v>
      </c>
      <c r="CS10" s="296" t="e">
        <f>(CR10/1000000)*('1a. Spredningsmodell input'!$B$49*'1a. Spredningsmodell input'!$C$35)</f>
        <v>#VALUE!</v>
      </c>
      <c r="CT10" s="294" t="e">
        <f t="shared" si="7"/>
        <v>#VALUE!</v>
      </c>
      <c r="CU10" s="290" t="e">
        <f>(CT10/1000000)*('1a. Spredningsmodell input'!$B$49)*'1a. Spredningsmodell input'!$C$35</f>
        <v>#VALUE!</v>
      </c>
      <c r="CV10" s="297" t="e">
        <f>($S10)*EXP(-(Stoff!$N10*365+$U10)*CP10)+CS10</f>
        <v>#VALUE!</v>
      </c>
      <c r="CW10" s="297" t="e">
        <f>(Stoff!$P10*$S10+CU10)*EXP(-$T10*CP10)</f>
        <v>#VALUE!</v>
      </c>
      <c r="CX10" s="297">
        <f>IF(ISERROR(CV10),0,(CV10+CW10)*1000000000/('1a. Spredningsmodell input'!$C$36*1000))</f>
        <v>0</v>
      </c>
      <c r="CY10" s="297" t="e">
        <f>$G10*(1-EXP(-'1a. Spredningsmodell input'!$B$43*Mellomregninger!CP10))*(1-EXP(-'1a. Spredningsmodell input'!$B$46*Mellomregninger!CP10))</f>
        <v>#VALUE!</v>
      </c>
      <c r="CZ10" s="297"/>
      <c r="DA10" s="297"/>
      <c r="DB10" s="262">
        <f t="shared" si="18"/>
        <v>5</v>
      </c>
      <c r="DC10" s="298" t="e">
        <f>($S10+$Q10*($O10+$I10*($D10*(1-Stoff!$P10))*(1-EXP(-($F10+Stoff!$L10*365)*DB10)))*(1-EXP(-($N10+Stoff!$M10*365)*DB10)))</f>
        <v>#VALUE!</v>
      </c>
      <c r="DD10" s="294" t="e">
        <f t="shared" si="8"/>
        <v>#VALUE!</v>
      </c>
      <c r="DE10" s="296" t="e">
        <f>(DD10/1000000)*('1a. Spredningsmodell input'!$B$49)*'1a. Spredningsmodell input'!$C$35</f>
        <v>#VALUE!</v>
      </c>
      <c r="DF10" s="294" t="e">
        <f t="shared" si="19"/>
        <v>#VALUE!</v>
      </c>
      <c r="DG10" s="290" t="e">
        <f>(DF10/1000000)*('1a. Spredningsmodell input'!$B$49)*'1a. Spredningsmodell input'!$C$35</f>
        <v>#VALUE!</v>
      </c>
      <c r="DH10" s="297" t="e">
        <f>($S10)*EXP(-(Stoff!$N10*365+$U10)*DB10)+DE10</f>
        <v>#VALUE!</v>
      </c>
      <c r="DI10" s="297" t="e">
        <f>(Stoff!$P10*$S10+DG10)*EXP(-$T10*DB10)</f>
        <v>#VALUE!</v>
      </c>
      <c r="DJ10" s="297" t="e">
        <f>(DH10+DI10)*1000000000/('1a. Spredningsmodell input'!$C$36*1000)</f>
        <v>#VALUE!</v>
      </c>
      <c r="DK10" s="297" t="e">
        <f>$G10*(1-EXP(-'1a. Spredningsmodell input'!$B$43*Mellomregninger!DB10))*(1-EXP(-'1a. Spredningsmodell input'!$B$46*Mellomregninger!DB10))</f>
        <v>#VALUE!</v>
      </c>
      <c r="DL10" s="297"/>
      <c r="DM10" s="297"/>
      <c r="DN10" s="262">
        <f t="shared" si="20"/>
        <v>20</v>
      </c>
      <c r="DO10" s="298" t="e">
        <f>($S10+$Q10*($O10+$I10*($D10*(1-Stoff!$P10))*(1-EXP(-($F10+Stoff!$L10*365)*DN10)))*(1-EXP(-($N10+Stoff!$M10*365)*DN10)))</f>
        <v>#VALUE!</v>
      </c>
      <c r="DP10" s="294" t="e">
        <f t="shared" si="21"/>
        <v>#VALUE!</v>
      </c>
      <c r="DQ10" s="296" t="e">
        <f>(DP10/1000000)*('1a. Spredningsmodell input'!$B$49)*'1a. Spredningsmodell input'!$C$35</f>
        <v>#VALUE!</v>
      </c>
      <c r="DR10" s="294" t="e">
        <f t="shared" si="9"/>
        <v>#VALUE!</v>
      </c>
      <c r="DS10" s="290" t="e">
        <f>(DR10/1000000)*('1a. Spredningsmodell input'!$B$49)*'1a. Spredningsmodell input'!$C$35</f>
        <v>#VALUE!</v>
      </c>
      <c r="DT10" s="297" t="e">
        <f>($S10)*EXP(-(Stoff!$N10*365+$U10)*DN10)+DQ10</f>
        <v>#VALUE!</v>
      </c>
      <c r="DU10" s="297" t="e">
        <f>(Stoff!$P10*$S10+DS10)*EXP(-$T10*DN10)</f>
        <v>#VALUE!</v>
      </c>
      <c r="DV10" s="297" t="e">
        <f>(DT10+DU10)*1000000000/('1a. Spredningsmodell input'!$C$36*1000)</f>
        <v>#VALUE!</v>
      </c>
      <c r="DW10" s="297" t="e">
        <f>$G10*(1-EXP(-'1a. Spredningsmodell input'!$B$43*Mellomregninger!DN10))*(1-EXP(-'1a. Spredningsmodell input'!$B$46*Mellomregninger!DN10))</f>
        <v>#VALUE!</v>
      </c>
      <c r="DX10" s="297"/>
      <c r="DY10" s="297"/>
      <c r="DZ10" s="262">
        <f t="shared" si="22"/>
        <v>100</v>
      </c>
      <c r="EA10" s="298" t="e">
        <f>($S10+$Q10*($O10+$I10*($D10*(1-Stoff!$P10))*(1-EXP(-($F10+Stoff!$L10*365)*DZ10)))*(1-EXP(-($N10+Stoff!$M10*365)*DZ10)))</f>
        <v>#VALUE!</v>
      </c>
      <c r="EB10" s="294" t="e">
        <f t="shared" si="10"/>
        <v>#VALUE!</v>
      </c>
      <c r="EC10" s="296" t="e">
        <f>(EB10/1000000)*('1a. Spredningsmodell input'!$B$49)*'1a. Spredningsmodell input'!$C$35</f>
        <v>#VALUE!</v>
      </c>
      <c r="ED10" s="294" t="e">
        <f t="shared" si="11"/>
        <v>#VALUE!</v>
      </c>
      <c r="EE10" s="290" t="e">
        <f>(ED10/1000000)*('1a. Spredningsmodell input'!$B$49)*'1a. Spredningsmodell input'!$C$35</f>
        <v>#VALUE!</v>
      </c>
      <c r="EF10" s="297" t="e">
        <f>($S10)*EXP(-(Stoff!$N10*365+$U10)*DZ10)+EC10</f>
        <v>#VALUE!</v>
      </c>
      <c r="EG10" s="297" t="e">
        <f>(Stoff!$P10*$S10+EE10)*EXP(-$T10*DZ10)</f>
        <v>#VALUE!</v>
      </c>
      <c r="EH10" s="297" t="e">
        <f>(EF10+EG10)*1000000000/('1a. Spredningsmodell input'!$C$36*1000)</f>
        <v>#VALUE!</v>
      </c>
      <c r="EI10" s="297" t="e">
        <f>$G10*(1-EXP(-'1a. Spredningsmodell input'!$B$43*Mellomregninger!DZ10))*(1-EXP(-'1a. Spredningsmodell input'!$B$46*Mellomregninger!DZ10))</f>
        <v>#VALUE!</v>
      </c>
      <c r="EJ10" s="297"/>
      <c r="EK10" s="297"/>
      <c r="EL10" s="262">
        <f t="shared" si="23"/>
        <v>1.0000000000000001E+25</v>
      </c>
      <c r="EM10" s="294" t="e">
        <f>($S10+$Q10*($O10+$I10*($D10*(1-Stoff!$P10))*(1-EXP(-($F10+Stoff!$L10*365)*EL10)))*(1-EXP(-($N10+Stoff!$M10*365)*EL10)))</f>
        <v>#VALUE!</v>
      </c>
      <c r="EN10" s="296" t="e">
        <f>($S10+$Q10*($O10+$I10*($D10*(1-Stoff!$P10))*(1-EXP(-($F10+Stoff!$L10*365)*(EL10-'1a. Spredningsmodell input'!$C$35))))*(1-EXP(-($N10+Stoff!$M10*365)*(EL10-'1a. Spredningsmodell input'!$C$35))))</f>
        <v>#VALUE!</v>
      </c>
      <c r="EO10" s="294" t="e">
        <f>IF(EL10&lt;'1a. Spredningsmodell input'!$C$35,EM10-($S10)*EXP(-(Stoff!$N10*365+$U10)*EL10),EM10-EN10)</f>
        <v>#VALUE!</v>
      </c>
      <c r="EP10" s="290" t="e">
        <f>((($D10*(Stoff!$P10))*(1-EXP(-'1a. Spredningsmodell input'!$B$43*EL10)))*(1-EXP(-'1a. Spredningsmodell input'!$B$46*EL10)))</f>
        <v>#VALUE!</v>
      </c>
      <c r="EQ10" s="294" t="e">
        <f>((($D10*(Stoff!$P10))*(1-EXP(-'1a. Spredningsmodell input'!$B$43*(EL10-'1a. Spredningsmodell input'!$C$35))))*(1-EXP(-'1a. Spredningsmodell input'!$B$46*(EL10-'1a. Spredningsmodell input'!$C$35))))</f>
        <v>#VALUE!</v>
      </c>
      <c r="ER10" s="290" t="e">
        <f>IF(EL10&lt;'1a. Spredningsmodell input'!$C$35,0,EP10-EQ10)</f>
        <v>#VALUE!</v>
      </c>
      <c r="ES10" s="297" t="e">
        <f>($S10)*EXP(-(Stoff!$N10*365+$U10)*EL10)+EO10</f>
        <v>#VALUE!</v>
      </c>
      <c r="ET10" s="297" t="e">
        <f>(Stoff!$P10*$S10+ER10)*EXP(-$T10*EL10)</f>
        <v>#VALUE!</v>
      </c>
      <c r="EU10" s="297" t="e">
        <f>(ES10+ET10)*1000000000/('1a. Spredningsmodell input'!$C$36*1000)</f>
        <v>#VALUE!</v>
      </c>
      <c r="EV10" s="262" t="e">
        <f t="shared" si="12"/>
        <v>#VALUE!</v>
      </c>
      <c r="EW10" s="299" t="e">
        <f t="shared" si="13"/>
        <v>#VALUE!</v>
      </c>
      <c r="EX10" s="262" t="e">
        <f t="shared" si="24"/>
        <v>#VALUE!</v>
      </c>
    </row>
    <row r="11" spans="1:154" x14ac:dyDescent="0.35">
      <c r="A11" s="50" t="s">
        <v>200</v>
      </c>
      <c r="B11" s="34" t="str">
        <f>IF(ISNUMBER('1c. Kons. porevann'!E11),1000*'1c. Kons. porevann'!E11,IF(ISNUMBER('1b. Kons. umettet jord'!E11),1000*'1b. Kons. umettet jord'!E11/C11,""))</f>
        <v/>
      </c>
      <c r="C11" s="244">
        <f>IF(Stoff!B11="uorganisk",Stoff!C11,Stoff!D11*'1a. Spredningsmodell input'!$C$11)</f>
        <v>30</v>
      </c>
      <c r="D11" s="34" t="str">
        <f>IF(ISNUMBER(B11),0.000001*('1b. Kons. umettet jord'!G11*'1a. Spredningsmodell input'!$C$12+B11*0.001*'1a. Spredningsmodell input'!$C$14)*1000*'1a. Spredningsmodell input'!$B$41*'1a. Spredningsmodell input'!$C$18,"")</f>
        <v/>
      </c>
      <c r="E11" s="283">
        <f>C11*'1a. Spredningsmodell input'!$C$12/'1a. Spredningsmodell input'!$C$14+1</f>
        <v>256</v>
      </c>
      <c r="F11" s="284">
        <f>'1a. Spredningsmodell input'!$B$43/E11</f>
        <v>5.8593749999999991E-3</v>
      </c>
      <c r="G11" s="34" t="e">
        <f>Stoff!P11*Mellomregninger!D11</f>
        <v>#VALUE!</v>
      </c>
      <c r="H11" s="283" t="e">
        <f>(D11-G11)*(F11/(F11+Stoff!L11))</f>
        <v>#VALUE!</v>
      </c>
      <c r="I11" s="283">
        <f>F11/(F11+Stoff!L11)</f>
        <v>1</v>
      </c>
      <c r="J11" s="285" t="str">
        <f>IF(B11="","",IF(ISNUMBER('1d. Kons. mettet sone'!E11),'1d. Kons. mettet sone'!E11,IF(ISNUMBER('1e. Kons. grunnvann'!E11),'1e. Kons. grunnvann'!E11*Mellomregninger!K11,0)))</f>
        <v/>
      </c>
      <c r="K11" s="286">
        <f>IF(Stoff!B11="uorganisk",Stoff!C11,Stoff!D11*'1a. Spredningsmodell input'!$C$24)</f>
        <v>30</v>
      </c>
      <c r="L11" s="27" t="e">
        <f>IF(ISNUMBER('1e. Kons. grunnvann'!E11),1000*'1e. Kons. grunnvann'!E11,1000*J11/K11)</f>
        <v>#VALUE!</v>
      </c>
      <c r="M11" s="34">
        <f>K11*'1a. Spredningsmodell input'!$C$25/'1a. Spredningsmodell input'!$C$26+1</f>
        <v>128.5</v>
      </c>
      <c r="N11" s="284">
        <f>'1a. Spredningsmodell input'!$C$26/M11</f>
        <v>3.1128404669260703E-3</v>
      </c>
      <c r="O11" s="287" t="e">
        <f>0.000000001*(J11*'1a. Spredningsmodell input'!$C$25+L11)*1000*'1a. Spredningsmodell input'!$B$45</f>
        <v>#VALUE!</v>
      </c>
      <c r="P11" s="287" t="e">
        <f>O11*Stoff!P11</f>
        <v>#VALUE!</v>
      </c>
      <c r="Q11" s="287">
        <f>N11/(N11+Stoff!M11)</f>
        <v>1</v>
      </c>
      <c r="R11" s="288">
        <f>IF(ISNUMBER('1f. Kons. resipient'!E11),'1f. Kons. resipient'!E11,0)</f>
        <v>0</v>
      </c>
      <c r="S11" s="288">
        <f>0.000000001*'1a. Spredningsmodell input'!$C$36*R11*1000</f>
        <v>0</v>
      </c>
      <c r="T11" s="288">
        <f>1/'1a. Spredningsmodell input'!$C$35</f>
        <v>1</v>
      </c>
      <c r="U11" s="288">
        <f>1/'1a. Spredningsmodell input'!$C$35</f>
        <v>1</v>
      </c>
      <c r="V11" s="300" t="e">
        <f>(1/($N11+Stoff!$L11))*(LN(($D11*$I11/($D11*$I11+$J11))*($F11+Stoff!$L11+$N11+Stoff!$M11)/($N11+Stoff!$M11)))</f>
        <v>#VALUE!</v>
      </c>
      <c r="W11" s="290" t="e">
        <f>($D11-Stoff!$P11*$D11)*EXP(-($F11+Stoff!$L11*365)*V11)</f>
        <v>#VALUE!</v>
      </c>
      <c r="X11" s="291" t="e">
        <f>(Stoff!$P11*$D11)*EXP(-'1a. Spredningsmodell input'!$B$43*V11)</f>
        <v>#VALUE!</v>
      </c>
      <c r="Y11" s="290" t="e">
        <f>($D11-Stoff!$P11*$D11-W11)*($F11/($F11+Stoff!$L11*365))</f>
        <v>#VALUE!</v>
      </c>
      <c r="Z11" s="290" t="e">
        <f>(Stoff!$P11*$D11)-X11</f>
        <v>#VALUE!</v>
      </c>
      <c r="AA11" s="290" t="e">
        <f>($O11+Y11)*EXP(-($N11+Stoff!$M11*365)*V11)</f>
        <v>#VALUE!</v>
      </c>
      <c r="AB11" s="290" t="e">
        <f>(Stoff!$P11*$O11+Z11)*EXP(-('1a. Spredningsmodell input'!$B$46)*V11)</f>
        <v>#VALUE!</v>
      </c>
      <c r="AC11" s="292" t="e">
        <f>((AA11+AB11)*1000000000)/('1a. Spredningsmodell input'!$B$45*1000)</f>
        <v>#VALUE!</v>
      </c>
      <c r="AD11" s="294" t="e">
        <f>0.001*AC11/('1a. Spredningsmodell input'!$C$25+'1a. Spredningsmodell input'!$C$26/Mellomregninger!$K11)</f>
        <v>#VALUE!</v>
      </c>
      <c r="AE11" s="294" t="e">
        <f>1000*AD11/$K11+AB11*1000000000/('1a. Spredningsmodell input'!$B$45*1000)</f>
        <v>#VALUE!</v>
      </c>
      <c r="AF11" s="294" t="e">
        <f t="shared" si="0"/>
        <v>#VALUE!</v>
      </c>
      <c r="AG11" s="294" t="e">
        <f>AB11*1000000000/('1a. Spredningsmodell input'!$B$45*1000)</f>
        <v>#VALUE!</v>
      </c>
      <c r="AH11" s="300" t="e">
        <f>(1/('1a. Spredningsmodell input'!$B$46))*(LN(($D11*Stoff!$P11/($D11*Stoff!$P11+$P11*Stoff!$P11))*('1a. Spredningsmodell input'!$B$43+'1a. Spredningsmodell input'!$B$46)/('1a. Spredningsmodell input'!$B$46)))</f>
        <v>#VALUE!</v>
      </c>
      <c r="AI11" s="290" t="e">
        <f>($D11-Stoff!$P11*$D11)*EXP(-($F11+Stoff!$L11*365)*AH11)</f>
        <v>#VALUE!</v>
      </c>
      <c r="AJ11" s="291" t="e">
        <f>(Stoff!$P11*$D11)*EXP(-'1a. Spredningsmodell input'!$B$43*AH11)</f>
        <v>#VALUE!</v>
      </c>
      <c r="AK11" s="290" t="e">
        <f>($D11-Stoff!$P11*$D11-AI11)*($F11/($F11+Stoff!$L11*365))</f>
        <v>#VALUE!</v>
      </c>
      <c r="AL11" s="290" t="e">
        <f>(Stoff!$P11*$D11)-AJ11</f>
        <v>#VALUE!</v>
      </c>
      <c r="AM11" s="290" t="e">
        <f>($O11+AK11)*EXP(-($N11+Stoff!$M11*365)*AH11)</f>
        <v>#VALUE!</v>
      </c>
      <c r="AN11" s="290" t="e">
        <f>(Stoff!$P11*$O11+AL11)*EXP(-('1a. Spredningsmodell input'!$B$46)*AH11)</f>
        <v>#VALUE!</v>
      </c>
      <c r="AO11" s="292" t="e">
        <f>((AM11+AN11)*1000000000)/('1a. Spredningsmodell input'!$B$45*1000)</f>
        <v>#VALUE!</v>
      </c>
      <c r="AP11" s="294" t="e">
        <f>0.001*AO11/('1a. Spredningsmodell input'!$C$25+'1a. Spredningsmodell input'!$C$26/Mellomregninger!$K11)</f>
        <v>#VALUE!</v>
      </c>
      <c r="AQ11" s="294" t="e">
        <f>1000*AP11/$K11+AN11*1000000000/('1a. Spredningsmodell input'!$B$45*1000)</f>
        <v>#VALUE!</v>
      </c>
      <c r="AR11" s="294" t="e">
        <f t="shared" si="1"/>
        <v>#VALUE!</v>
      </c>
      <c r="AS11" s="294" t="e">
        <f>AN11*1000000000/('1a. Spredningsmodell input'!$B$45*1000)</f>
        <v>#VALUE!</v>
      </c>
      <c r="AT11" s="295">
        <f t="shared" si="14"/>
        <v>5</v>
      </c>
      <c r="AU11" s="290" t="e">
        <f>($D11-Stoff!$P11*$D11)*EXP(-($F11+Stoff!$L11*365)*AT11)</f>
        <v>#VALUE!</v>
      </c>
      <c r="AV11" s="291" t="e">
        <f>(Stoff!$P11*$D11)*EXP(-'1a. Spredningsmodell input'!$B$43*AT11)</f>
        <v>#VALUE!</v>
      </c>
      <c r="AW11" s="290" t="e">
        <f>($D11-Stoff!$P11*$D11-AU11)*($F11/($F11+Stoff!$L11*365))</f>
        <v>#VALUE!</v>
      </c>
      <c r="AX11" s="290" t="e">
        <f>(Stoff!$P11*$D11)-AV11</f>
        <v>#VALUE!</v>
      </c>
      <c r="AY11" s="290" t="e">
        <f>($O11+AW11)*EXP(-($N11+Stoff!$M11*365)*AT11)</f>
        <v>#VALUE!</v>
      </c>
      <c r="AZ11" s="290" t="e">
        <f>(Stoff!$P11*$O11+AX11)*EXP(-('1a. Spredningsmodell input'!$B$46)*AT11)</f>
        <v>#VALUE!</v>
      </c>
      <c r="BA11" s="292" t="e">
        <f>((AY11+AZ11)*1000000000)/('1a. Spredningsmodell input'!$B$45*1000)</f>
        <v>#VALUE!</v>
      </c>
      <c r="BB11" s="294" t="e">
        <f>0.001*BA11/('1a. Spredningsmodell input'!$C$25+'1a. Spredningsmodell input'!$C$26/Mellomregninger!$K11)</f>
        <v>#VALUE!</v>
      </c>
      <c r="BC11" s="294" t="e">
        <f>1000*BB11/$K11+AZ11*1000000000/('1a. Spredningsmodell input'!$B$45*1000)</f>
        <v>#VALUE!</v>
      </c>
      <c r="BD11" s="294" t="e">
        <f t="shared" si="2"/>
        <v>#VALUE!</v>
      </c>
      <c r="BE11" s="294" t="e">
        <f>AZ11*1000000000/('1a. Spredningsmodell input'!$B$45*1000)</f>
        <v>#VALUE!</v>
      </c>
      <c r="BF11" s="295">
        <f t="shared" si="15"/>
        <v>20</v>
      </c>
      <c r="BG11" s="290" t="e">
        <f>($D11-Stoff!$P11*$D11)*EXP(-($F11+Stoff!$L11*365)*BF11)</f>
        <v>#VALUE!</v>
      </c>
      <c r="BH11" s="291" t="e">
        <f>(Stoff!$P11*$D11)*EXP(-'1a. Spredningsmodell input'!$B$43*BF11)</f>
        <v>#VALUE!</v>
      </c>
      <c r="BI11" s="290" t="e">
        <f>($D11-Stoff!$P11*$D11-BG11)*($F11/($F11+Stoff!$L11*365))</f>
        <v>#VALUE!</v>
      </c>
      <c r="BJ11" s="290" t="e">
        <f>(Stoff!$P11*$D11)-BH11</f>
        <v>#VALUE!</v>
      </c>
      <c r="BK11" s="290" t="e">
        <f>($O11+BI11)*EXP(-($N11+Stoff!$M11*365)*BF11)</f>
        <v>#VALUE!</v>
      </c>
      <c r="BL11" s="290" t="e">
        <f>(Stoff!$P11*$O11+BJ11)*EXP(-('1a. Spredningsmodell input'!$B$46)*BF11)</f>
        <v>#VALUE!</v>
      </c>
      <c r="BM11" s="292" t="e">
        <f>((BK11+BL11)*1000000000)/('1a. Spredningsmodell input'!$B$45*1000)</f>
        <v>#VALUE!</v>
      </c>
      <c r="BN11" s="294" t="e">
        <f>0.001*BM11/('1a. Spredningsmodell input'!$C$25+'1a. Spredningsmodell input'!$C$26/Mellomregninger!$K11)</f>
        <v>#VALUE!</v>
      </c>
      <c r="BO11" s="294" t="e">
        <f>1000*BN11/$K11+BL11*1000000000/('1a. Spredningsmodell input'!$B$45*1000)</f>
        <v>#VALUE!</v>
      </c>
      <c r="BP11" s="294" t="e">
        <f t="shared" si="3"/>
        <v>#VALUE!</v>
      </c>
      <c r="BQ11" s="294" t="e">
        <f>BL11*1000000000/('1a. Spredningsmodell input'!$B$45*1000)</f>
        <v>#VALUE!</v>
      </c>
      <c r="BR11" s="295">
        <f t="shared" si="16"/>
        <v>100</v>
      </c>
      <c r="BS11" s="290" t="e">
        <f>($D11-Stoff!$P11*$D11)*EXP(-($F11+Stoff!$L11*365)*BR11)</f>
        <v>#VALUE!</v>
      </c>
      <c r="BT11" s="291" t="e">
        <f>(Stoff!$P11*$D11)*EXP(-'1a. Spredningsmodell input'!$B$43*BR11)</f>
        <v>#VALUE!</v>
      </c>
      <c r="BU11" s="290" t="e">
        <f>($D11-Stoff!$P11*$D11-BS11)*($F11/($F11+Stoff!$L11*365))</f>
        <v>#VALUE!</v>
      </c>
      <c r="BV11" s="290" t="e">
        <f>(Stoff!$P11*$D11)-BT11</f>
        <v>#VALUE!</v>
      </c>
      <c r="BW11" s="290" t="e">
        <f>($O11+BU11)*EXP(-($N11+Stoff!$M11*365)*BR11)</f>
        <v>#VALUE!</v>
      </c>
      <c r="BX11" s="290" t="e">
        <f>(Stoff!$P11*$O11+BV11)*EXP(-('1a. Spredningsmodell input'!$B$46)*BR11)</f>
        <v>#VALUE!</v>
      </c>
      <c r="BY11" s="292" t="e">
        <f>((BW11+BX11)*1000000000)/('1a. Spredningsmodell input'!$B$45*1000)</f>
        <v>#VALUE!</v>
      </c>
      <c r="BZ11" s="294" t="e">
        <f>0.001*BY11/('1a. Spredningsmodell input'!$C$25+'1a. Spredningsmodell input'!$C$26/Mellomregninger!$K11)</f>
        <v>#VALUE!</v>
      </c>
      <c r="CA11" s="294" t="e">
        <f>1000*BZ11/$K11+BX11*1000000000/('1a. Spredningsmodell input'!$B$45*1000)</f>
        <v>#VALUE!</v>
      </c>
      <c r="CB11" s="294" t="e">
        <f t="shared" si="4"/>
        <v>#VALUE!</v>
      </c>
      <c r="CC11" s="294" t="e">
        <f>BX11*1000000000/('1a. Spredningsmodell input'!$B$45*1000)</f>
        <v>#VALUE!</v>
      </c>
      <c r="CD11" s="294" t="e">
        <f>V11+'1a. Spredningsmodell input'!$C$35</f>
        <v>#VALUE!</v>
      </c>
      <c r="CE11" s="294" t="e">
        <f>($S11+$Q11*($O11+$I11*($D11*(1-Stoff!$P11))*(1-EXP(-($F11+Stoff!$L11*365)*CD11)))*(1-EXP(-($N11+Stoff!$M11*365)*CD11)))</f>
        <v>#VALUE!</v>
      </c>
      <c r="CF11" s="294" t="e">
        <f t="shared" si="5"/>
        <v>#VALUE!</v>
      </c>
      <c r="CG11" s="296" t="e">
        <f>(CF11/1000000)*'1a. Spredningsmodell input'!$B$49*'1a. Spredningsmodell input'!$C$35</f>
        <v>#VALUE!</v>
      </c>
      <c r="CH11" s="294" t="e">
        <f t="shared" si="17"/>
        <v>#VALUE!</v>
      </c>
      <c r="CI11" s="290" t="e">
        <f>(CH11/1000000)*'1a. Spredningsmodell input'!$B$49*'1a. Spredningsmodell input'!$C$35</f>
        <v>#VALUE!</v>
      </c>
      <c r="CJ11" s="297" t="e">
        <f>($S11)*EXP(-(Stoff!$N11*365+$U11)*CD11)+CG11</f>
        <v>#VALUE!</v>
      </c>
      <c r="CK11" s="297" t="e">
        <f>(Stoff!$P11*$S11+CI11)*EXP(-$T11*CD11)</f>
        <v>#VALUE!</v>
      </c>
      <c r="CL11" s="297" t="e">
        <f>(CJ11+CK11)*1000000000/('1a. Spredningsmodell input'!$C$36*1000)</f>
        <v>#VALUE!</v>
      </c>
      <c r="CM11" s="297" t="e">
        <f>$G11*(1-EXP(-'1a. Spredningsmodell input'!$B$43*Mellomregninger!CD11))*(1-EXP(-'1a. Spredningsmodell input'!$B$46*Mellomregninger!CD11))</f>
        <v>#VALUE!</v>
      </c>
      <c r="CN11" s="297"/>
      <c r="CO11" s="297"/>
      <c r="CP11" s="290">
        <f>IF(ISNUMBER(AH11),AH11+'1a. Spredningsmodell input'!$C$35,'1a. Spredningsmodell input'!$C$35)</f>
        <v>1</v>
      </c>
      <c r="CQ11" s="294" t="e">
        <f>($S11+$Q11*($O11+$I11*($D11*(1-Stoff!$P11))*(1-EXP(-($F11+Stoff!$L11*365)*CP11)))*(1-EXP(-($N11+Stoff!$M11*365)*CP11)))</f>
        <v>#VALUE!</v>
      </c>
      <c r="CR11" s="294" t="e">
        <f t="shared" si="6"/>
        <v>#VALUE!</v>
      </c>
      <c r="CS11" s="296" t="e">
        <f>(CR11/1000000)*('1a. Spredningsmodell input'!$B$49*'1a. Spredningsmodell input'!$C$35)</f>
        <v>#VALUE!</v>
      </c>
      <c r="CT11" s="294" t="e">
        <f t="shared" si="7"/>
        <v>#VALUE!</v>
      </c>
      <c r="CU11" s="290" t="e">
        <f>(CT11/1000000)*('1a. Spredningsmodell input'!$B$49)*'1a. Spredningsmodell input'!$C$35</f>
        <v>#VALUE!</v>
      </c>
      <c r="CV11" s="297" t="e">
        <f>($S11)*EXP(-(Stoff!$N11*365+$U11)*CP11)+CS11</f>
        <v>#VALUE!</v>
      </c>
      <c r="CW11" s="297" t="e">
        <f>(Stoff!$P11*$S11+CU11)*EXP(-$T11*CP11)</f>
        <v>#VALUE!</v>
      </c>
      <c r="CX11" s="297">
        <f>IF(ISERROR(CV11),0,(CV11+CW11)*1000000000/('1a. Spredningsmodell input'!$C$36*1000))</f>
        <v>0</v>
      </c>
      <c r="CY11" s="297" t="e">
        <f>$G11*(1-EXP(-'1a. Spredningsmodell input'!$B$43*Mellomregninger!CP11))*(1-EXP(-'1a. Spredningsmodell input'!$B$46*Mellomregninger!CP11))</f>
        <v>#VALUE!</v>
      </c>
      <c r="CZ11" s="297"/>
      <c r="DA11" s="297"/>
      <c r="DB11" s="262">
        <f t="shared" si="18"/>
        <v>5</v>
      </c>
      <c r="DC11" s="298" t="e">
        <f>($S11+$Q11*($O11+$I11*($D11*(1-Stoff!$P11))*(1-EXP(-($F11+Stoff!$L11*365)*DB11)))*(1-EXP(-($N11+Stoff!$M11*365)*DB11)))</f>
        <v>#VALUE!</v>
      </c>
      <c r="DD11" s="294" t="e">
        <f t="shared" si="8"/>
        <v>#VALUE!</v>
      </c>
      <c r="DE11" s="296" t="e">
        <f>(DD11/1000000)*('1a. Spredningsmodell input'!$B$49)*'1a. Spredningsmodell input'!$C$35</f>
        <v>#VALUE!</v>
      </c>
      <c r="DF11" s="294" t="e">
        <f t="shared" si="19"/>
        <v>#VALUE!</v>
      </c>
      <c r="DG11" s="290" t="e">
        <f>(DF11/1000000)*('1a. Spredningsmodell input'!$B$49)*'1a. Spredningsmodell input'!$C$35</f>
        <v>#VALUE!</v>
      </c>
      <c r="DH11" s="297" t="e">
        <f>($S11)*EXP(-(Stoff!$N11*365+$U11)*DB11)+DE11</f>
        <v>#VALUE!</v>
      </c>
      <c r="DI11" s="297" t="e">
        <f>(Stoff!$P11*$S11+DG11)*EXP(-$T11*DB11)</f>
        <v>#VALUE!</v>
      </c>
      <c r="DJ11" s="297" t="e">
        <f>(DH11+DI11)*1000000000/('1a. Spredningsmodell input'!$C$36*1000)</f>
        <v>#VALUE!</v>
      </c>
      <c r="DK11" s="297" t="e">
        <f>$G11*(1-EXP(-'1a. Spredningsmodell input'!$B$43*Mellomregninger!DB11))*(1-EXP(-'1a. Spredningsmodell input'!$B$46*Mellomregninger!DB11))</f>
        <v>#VALUE!</v>
      </c>
      <c r="DL11" s="297"/>
      <c r="DM11" s="297"/>
      <c r="DN11" s="262">
        <f t="shared" si="20"/>
        <v>20</v>
      </c>
      <c r="DO11" s="298" t="e">
        <f>($S11+$Q11*($O11+$I11*($D11*(1-Stoff!$P11))*(1-EXP(-($F11+Stoff!$L11*365)*DN11)))*(1-EXP(-($N11+Stoff!$M11*365)*DN11)))</f>
        <v>#VALUE!</v>
      </c>
      <c r="DP11" s="294" t="e">
        <f t="shared" si="21"/>
        <v>#VALUE!</v>
      </c>
      <c r="DQ11" s="296" t="e">
        <f>(DP11/1000000)*('1a. Spredningsmodell input'!$B$49)*'1a. Spredningsmodell input'!$C$35</f>
        <v>#VALUE!</v>
      </c>
      <c r="DR11" s="294" t="e">
        <f t="shared" si="9"/>
        <v>#VALUE!</v>
      </c>
      <c r="DS11" s="290" t="e">
        <f>(DR11/1000000)*('1a. Spredningsmodell input'!$B$49)*'1a. Spredningsmodell input'!$C$35</f>
        <v>#VALUE!</v>
      </c>
      <c r="DT11" s="297" t="e">
        <f>($S11)*EXP(-(Stoff!$N11*365+$U11)*DN11)+DQ11</f>
        <v>#VALUE!</v>
      </c>
      <c r="DU11" s="297" t="e">
        <f>(Stoff!$P11*$S11+DS11)*EXP(-$T11*DN11)</f>
        <v>#VALUE!</v>
      </c>
      <c r="DV11" s="297" t="e">
        <f>(DT11+DU11)*1000000000/('1a. Spredningsmodell input'!$C$36*1000)</f>
        <v>#VALUE!</v>
      </c>
      <c r="DW11" s="297" t="e">
        <f>$G11*(1-EXP(-'1a. Spredningsmodell input'!$B$43*Mellomregninger!DN11))*(1-EXP(-'1a. Spredningsmodell input'!$B$46*Mellomregninger!DN11))</f>
        <v>#VALUE!</v>
      </c>
      <c r="DX11" s="297"/>
      <c r="DY11" s="297"/>
      <c r="DZ11" s="262">
        <f t="shared" si="22"/>
        <v>100</v>
      </c>
      <c r="EA11" s="298" t="e">
        <f>($S11+$Q11*($O11+$I11*($D11*(1-Stoff!$P11))*(1-EXP(-($F11+Stoff!$L11*365)*DZ11)))*(1-EXP(-($N11+Stoff!$M11*365)*DZ11)))</f>
        <v>#VALUE!</v>
      </c>
      <c r="EB11" s="294" t="e">
        <f t="shared" si="10"/>
        <v>#VALUE!</v>
      </c>
      <c r="EC11" s="296" t="e">
        <f>(EB11/1000000)*('1a. Spredningsmodell input'!$B$49)*'1a. Spredningsmodell input'!$C$35</f>
        <v>#VALUE!</v>
      </c>
      <c r="ED11" s="294" t="e">
        <f t="shared" si="11"/>
        <v>#VALUE!</v>
      </c>
      <c r="EE11" s="290" t="e">
        <f>(ED11/1000000)*('1a. Spredningsmodell input'!$B$49)*'1a. Spredningsmodell input'!$C$35</f>
        <v>#VALUE!</v>
      </c>
      <c r="EF11" s="297" t="e">
        <f>($S11)*EXP(-(Stoff!$N11*365+$U11)*DZ11)+EC11</f>
        <v>#VALUE!</v>
      </c>
      <c r="EG11" s="297" t="e">
        <f>(Stoff!$P11*$S11+EE11)*EXP(-$T11*DZ11)</f>
        <v>#VALUE!</v>
      </c>
      <c r="EH11" s="297" t="e">
        <f>(EF11+EG11)*1000000000/('1a. Spredningsmodell input'!$C$36*1000)</f>
        <v>#VALUE!</v>
      </c>
      <c r="EI11" s="297" t="e">
        <f>$G11*(1-EXP(-'1a. Spredningsmodell input'!$B$43*Mellomregninger!DZ11))*(1-EXP(-'1a. Spredningsmodell input'!$B$46*Mellomregninger!DZ11))</f>
        <v>#VALUE!</v>
      </c>
      <c r="EJ11" s="297"/>
      <c r="EK11" s="297"/>
      <c r="EL11" s="262">
        <f t="shared" si="23"/>
        <v>1.0000000000000001E+25</v>
      </c>
      <c r="EM11" s="294" t="e">
        <f>($S11+$Q11*($O11+$I11*($D11*(1-Stoff!$P11))*(1-EXP(-($F11+Stoff!$L11*365)*EL11)))*(1-EXP(-($N11+Stoff!$M11*365)*EL11)))</f>
        <v>#VALUE!</v>
      </c>
      <c r="EN11" s="296" t="e">
        <f>($S11+$Q11*($O11+$I11*($D11*(1-Stoff!$P11))*(1-EXP(-($F11+Stoff!$L11*365)*(EL11-'1a. Spredningsmodell input'!$C$35))))*(1-EXP(-($N11+Stoff!$M11*365)*(EL11-'1a. Spredningsmodell input'!$C$35))))</f>
        <v>#VALUE!</v>
      </c>
      <c r="EO11" s="294" t="e">
        <f>IF(EL11&lt;'1a. Spredningsmodell input'!$C$35,EM11-($S11)*EXP(-(Stoff!$N11*365+$U11)*EL11),EM11-EN11)</f>
        <v>#VALUE!</v>
      </c>
      <c r="EP11" s="290" t="e">
        <f>((($D11*(Stoff!$P11))*(1-EXP(-'1a. Spredningsmodell input'!$B$43*EL11)))*(1-EXP(-'1a. Spredningsmodell input'!$B$46*EL11)))</f>
        <v>#VALUE!</v>
      </c>
      <c r="EQ11" s="294" t="e">
        <f>((($D11*(Stoff!$P11))*(1-EXP(-'1a. Spredningsmodell input'!$B$43*(EL11-'1a. Spredningsmodell input'!$C$35))))*(1-EXP(-'1a. Spredningsmodell input'!$B$46*(EL11-'1a. Spredningsmodell input'!$C$35))))</f>
        <v>#VALUE!</v>
      </c>
      <c r="ER11" s="290" t="e">
        <f>IF(EL11&lt;'1a. Spredningsmodell input'!$C$35,0,EP11-EQ11)</f>
        <v>#VALUE!</v>
      </c>
      <c r="ES11" s="297" t="e">
        <f>($S11)*EXP(-(Stoff!$N11*365+$U11)*EL11)+EO11</f>
        <v>#VALUE!</v>
      </c>
      <c r="ET11" s="297" t="e">
        <f>(Stoff!$P11*$S11+ER11)*EXP(-$T11*EL11)</f>
        <v>#VALUE!</v>
      </c>
      <c r="EU11" s="297" t="e">
        <f>(ES11+ET11)*1000000000/('1a. Spredningsmodell input'!$C$36*1000)</f>
        <v>#VALUE!</v>
      </c>
      <c r="EV11" s="262" t="e">
        <f t="shared" si="12"/>
        <v>#VALUE!</v>
      </c>
      <c r="EW11" s="299" t="e">
        <f t="shared" si="13"/>
        <v>#VALUE!</v>
      </c>
      <c r="EX11" s="262" t="e">
        <f t="shared" si="24"/>
        <v>#VALUE!</v>
      </c>
    </row>
    <row r="12" spans="1:154" x14ac:dyDescent="0.35">
      <c r="A12" s="50" t="s">
        <v>199</v>
      </c>
      <c r="B12" s="34" t="str">
        <f>IF(ISNUMBER('1c. Kons. porevann'!E12),1000*'1c. Kons. porevann'!E12,IF(ISNUMBER('1b. Kons. umettet jord'!E12),1000*'1b. Kons. umettet jord'!E12/C12,""))</f>
        <v/>
      </c>
      <c r="C12" s="244">
        <f>IF(Stoff!B12="uorganisk",Stoff!C12,Stoff!D12*'1a. Spredningsmodell input'!$C$11)</f>
        <v>11000</v>
      </c>
      <c r="D12" s="34" t="str">
        <f>IF(ISNUMBER(B12),0.000001*('1b. Kons. umettet jord'!G12*'1a. Spredningsmodell input'!$C$12+B12*0.001*'1a. Spredningsmodell input'!$C$14)*1000*'1a. Spredningsmodell input'!$B$41*'1a. Spredningsmodell input'!$C$18,"")</f>
        <v/>
      </c>
      <c r="E12" s="283">
        <f>C12*'1a. Spredningsmodell input'!$C$12/'1a. Spredningsmodell input'!$C$14+1</f>
        <v>93501</v>
      </c>
      <c r="F12" s="284">
        <f>'1a. Spredningsmodell input'!$B$43/E12</f>
        <v>1.6042609169955398E-5</v>
      </c>
      <c r="G12" s="34" t="e">
        <f>Stoff!P12*Mellomregninger!D12</f>
        <v>#VALUE!</v>
      </c>
      <c r="H12" s="283" t="e">
        <f>(D12-G12)*(F12/(F12+Stoff!L12))</f>
        <v>#VALUE!</v>
      </c>
      <c r="I12" s="283">
        <f>F12/(F12+Stoff!L12)</f>
        <v>1</v>
      </c>
      <c r="J12" s="285" t="str">
        <f>IF(B12="","",IF(ISNUMBER('1d. Kons. mettet sone'!E12),'1d. Kons. mettet sone'!E12,IF(ISNUMBER('1e. Kons. grunnvann'!E12),'1e. Kons. grunnvann'!E12*Mellomregninger!K12,0)))</f>
        <v/>
      </c>
      <c r="K12" s="286">
        <f>IF(Stoff!B12="uorganisk",Stoff!C12,Stoff!D12*'1a. Spredningsmodell input'!$C$24)</f>
        <v>11000</v>
      </c>
      <c r="L12" s="27" t="e">
        <f>IF(ISNUMBER('1e. Kons. grunnvann'!E12),1000*'1e. Kons. grunnvann'!E12,1000*J12/K12)</f>
        <v>#VALUE!</v>
      </c>
      <c r="M12" s="34">
        <f>K12*'1a. Spredningsmodell input'!$C$25/'1a. Spredningsmodell input'!$C$26+1</f>
        <v>46751</v>
      </c>
      <c r="N12" s="284">
        <f>'1a. Spredningsmodell input'!$C$26/M12</f>
        <v>8.5559667172894695E-6</v>
      </c>
      <c r="O12" s="287" t="e">
        <f>0.000000001*(J12*'1a. Spredningsmodell input'!$C$25+L12)*1000*'1a. Spredningsmodell input'!$B$45</f>
        <v>#VALUE!</v>
      </c>
      <c r="P12" s="287" t="e">
        <f>O12*Stoff!P12</f>
        <v>#VALUE!</v>
      </c>
      <c r="Q12" s="287">
        <f>N12/(N12+Stoff!M12)</f>
        <v>1</v>
      </c>
      <c r="R12" s="288">
        <f>IF(ISNUMBER('1f. Kons. resipient'!E12),'1f. Kons. resipient'!E12,0)</f>
        <v>0</v>
      </c>
      <c r="S12" s="288">
        <f>0.000000001*'1a. Spredningsmodell input'!$C$36*R12*1000</f>
        <v>0</v>
      </c>
      <c r="T12" s="288">
        <f>1/'1a. Spredningsmodell input'!$C$35</f>
        <v>1</v>
      </c>
      <c r="U12" s="288">
        <f>1/'1a. Spredningsmodell input'!$C$35</f>
        <v>1</v>
      </c>
      <c r="V12" s="300" t="e">
        <f>(1/($N12+Stoff!$L12))*(LN(($D12*$I12/($D12*$I12+$J12))*($F12+Stoff!$L12+$N12+Stoff!$M12)/($N12+Stoff!$M12)))</f>
        <v>#VALUE!</v>
      </c>
      <c r="W12" s="290" t="e">
        <f>($D12-Stoff!$P12*$D12)*EXP(-($F12+Stoff!$L12*365)*V12)</f>
        <v>#VALUE!</v>
      </c>
      <c r="X12" s="291" t="e">
        <f>(Stoff!$P12*$D12)*EXP(-'1a. Spredningsmodell input'!$B$43*V12)</f>
        <v>#VALUE!</v>
      </c>
      <c r="Y12" s="290" t="e">
        <f>($D12-Stoff!$P12*$D12-W12)*($F12/($F12+Stoff!$L12*365))</f>
        <v>#VALUE!</v>
      </c>
      <c r="Z12" s="290" t="e">
        <f>(Stoff!$P12*$D12)-X12</f>
        <v>#VALUE!</v>
      </c>
      <c r="AA12" s="290" t="e">
        <f>($O12+Y12)*EXP(-($N12+Stoff!$M12*365)*V12)</f>
        <v>#VALUE!</v>
      </c>
      <c r="AB12" s="290" t="e">
        <f>(Stoff!$P12*$O12+Z12)*EXP(-('1a. Spredningsmodell input'!$B$46)*V12)</f>
        <v>#VALUE!</v>
      </c>
      <c r="AC12" s="292" t="e">
        <f>((AA12+AB12)*1000000000)/('1a. Spredningsmodell input'!$B$45*1000)</f>
        <v>#VALUE!</v>
      </c>
      <c r="AD12" s="294" t="e">
        <f>0.001*AC12/('1a. Spredningsmodell input'!$C$25+'1a. Spredningsmodell input'!$C$26/Mellomregninger!$K12)</f>
        <v>#VALUE!</v>
      </c>
      <c r="AE12" s="294" t="e">
        <f>1000*AD12/$K12+AB12*1000000000/('1a. Spredningsmodell input'!$B$45*1000)</f>
        <v>#VALUE!</v>
      </c>
      <c r="AF12" s="294" t="e">
        <f t="shared" si="0"/>
        <v>#VALUE!</v>
      </c>
      <c r="AG12" s="294" t="e">
        <f>AB12*1000000000/('1a. Spredningsmodell input'!$B$45*1000)</f>
        <v>#VALUE!</v>
      </c>
      <c r="AH12" s="300" t="e">
        <f>(1/('1a. Spredningsmodell input'!$B$46))*(LN(($D12*Stoff!$P12/($D12*Stoff!$P12+$P12*Stoff!$P12))*('1a. Spredningsmodell input'!$B$43+'1a. Spredningsmodell input'!$B$46)/('1a. Spredningsmodell input'!$B$46)))</f>
        <v>#VALUE!</v>
      </c>
      <c r="AI12" s="290" t="e">
        <f>($D12-Stoff!$P12*$D12)*EXP(-($F12+Stoff!$L12*365)*AH12)</f>
        <v>#VALUE!</v>
      </c>
      <c r="AJ12" s="291" t="e">
        <f>(Stoff!$P12*$D12)*EXP(-'1a. Spredningsmodell input'!$B$43*AH12)</f>
        <v>#VALUE!</v>
      </c>
      <c r="AK12" s="290" t="e">
        <f>($D12-Stoff!$P12*$D12-AI12)*($F12/($F12+Stoff!$L12*365))</f>
        <v>#VALUE!</v>
      </c>
      <c r="AL12" s="290" t="e">
        <f>(Stoff!$P12*$D12)-AJ12</f>
        <v>#VALUE!</v>
      </c>
      <c r="AM12" s="290" t="e">
        <f>($O12+AK12)*EXP(-($N12+Stoff!$M12*365)*AH12)</f>
        <v>#VALUE!</v>
      </c>
      <c r="AN12" s="290" t="e">
        <f>(Stoff!$P12*$O12+AL12)*EXP(-('1a. Spredningsmodell input'!$B$46)*AH12)</f>
        <v>#VALUE!</v>
      </c>
      <c r="AO12" s="292" t="e">
        <f>((AM12+AN12)*1000000000)/('1a. Spredningsmodell input'!$B$45*1000)</f>
        <v>#VALUE!</v>
      </c>
      <c r="AP12" s="294" t="e">
        <f>0.001*AO12/('1a. Spredningsmodell input'!$C$25+'1a. Spredningsmodell input'!$C$26/Mellomregninger!$K12)</f>
        <v>#VALUE!</v>
      </c>
      <c r="AQ12" s="294" t="e">
        <f>1000*AP12/$K12+AN12*1000000000/('1a. Spredningsmodell input'!$B$45*1000)</f>
        <v>#VALUE!</v>
      </c>
      <c r="AR12" s="294" t="e">
        <f t="shared" si="1"/>
        <v>#VALUE!</v>
      </c>
      <c r="AS12" s="294" t="e">
        <f>AN12*1000000000/('1a. Spredningsmodell input'!$B$45*1000)</f>
        <v>#VALUE!</v>
      </c>
      <c r="AT12" s="295">
        <f t="shared" si="14"/>
        <v>5</v>
      </c>
      <c r="AU12" s="290" t="e">
        <f>($D12-Stoff!$P12*$D12)*EXP(-($F12+Stoff!$L12*365)*AT12)</f>
        <v>#VALUE!</v>
      </c>
      <c r="AV12" s="291" t="e">
        <f>(Stoff!$P12*$D12)*EXP(-'1a. Spredningsmodell input'!$B$43*AT12)</f>
        <v>#VALUE!</v>
      </c>
      <c r="AW12" s="290" t="e">
        <f>($D12-Stoff!$P12*$D12-AU12)*($F12/($F12+Stoff!$L12*365))</f>
        <v>#VALUE!</v>
      </c>
      <c r="AX12" s="290" t="e">
        <f>(Stoff!$P12*$D12)-AV12</f>
        <v>#VALUE!</v>
      </c>
      <c r="AY12" s="290" t="e">
        <f>($O12+AW12)*EXP(-($N12+Stoff!$M12*365)*AT12)</f>
        <v>#VALUE!</v>
      </c>
      <c r="AZ12" s="290" t="e">
        <f>(Stoff!$P12*$O12+AX12)*EXP(-('1a. Spredningsmodell input'!$B$46)*AT12)</f>
        <v>#VALUE!</v>
      </c>
      <c r="BA12" s="292" t="e">
        <f>((AY12+AZ12)*1000000000)/('1a. Spredningsmodell input'!$B$45*1000)</f>
        <v>#VALUE!</v>
      </c>
      <c r="BB12" s="294" t="e">
        <f>0.001*BA12/('1a. Spredningsmodell input'!$C$25+'1a. Spredningsmodell input'!$C$26/Mellomregninger!$K12)</f>
        <v>#VALUE!</v>
      </c>
      <c r="BC12" s="294" t="e">
        <f>1000*BB12/$K12+AZ12*1000000000/('1a. Spredningsmodell input'!$B$45*1000)</f>
        <v>#VALUE!</v>
      </c>
      <c r="BD12" s="294" t="e">
        <f t="shared" si="2"/>
        <v>#VALUE!</v>
      </c>
      <c r="BE12" s="294" t="e">
        <f>AZ12*1000000000/('1a. Spredningsmodell input'!$B$45*1000)</f>
        <v>#VALUE!</v>
      </c>
      <c r="BF12" s="295">
        <f t="shared" si="15"/>
        <v>20</v>
      </c>
      <c r="BG12" s="290" t="e">
        <f>($D12-Stoff!$P12*$D12)*EXP(-($F12+Stoff!$L12*365)*BF12)</f>
        <v>#VALUE!</v>
      </c>
      <c r="BH12" s="291" t="e">
        <f>(Stoff!$P12*$D12)*EXP(-'1a. Spredningsmodell input'!$B$43*BF12)</f>
        <v>#VALUE!</v>
      </c>
      <c r="BI12" s="290" t="e">
        <f>($D12-Stoff!$P12*$D12-BG12)*($F12/($F12+Stoff!$L12*365))</f>
        <v>#VALUE!</v>
      </c>
      <c r="BJ12" s="290" t="e">
        <f>(Stoff!$P12*$D12)-BH12</f>
        <v>#VALUE!</v>
      </c>
      <c r="BK12" s="290" t="e">
        <f>($O12+BI12)*EXP(-($N12+Stoff!$M12*365)*BF12)</f>
        <v>#VALUE!</v>
      </c>
      <c r="BL12" s="290" t="e">
        <f>(Stoff!$P12*$O12+BJ12)*EXP(-('1a. Spredningsmodell input'!$B$46)*BF12)</f>
        <v>#VALUE!</v>
      </c>
      <c r="BM12" s="292" t="e">
        <f>((BK12+BL12)*1000000000)/('1a. Spredningsmodell input'!$B$45*1000)</f>
        <v>#VALUE!</v>
      </c>
      <c r="BN12" s="294" t="e">
        <f>0.001*BM12/('1a. Spredningsmodell input'!$C$25+'1a. Spredningsmodell input'!$C$26/Mellomregninger!$K12)</f>
        <v>#VALUE!</v>
      </c>
      <c r="BO12" s="294" t="e">
        <f>1000*BN12/$K12+BL12*1000000000/('1a. Spredningsmodell input'!$B$45*1000)</f>
        <v>#VALUE!</v>
      </c>
      <c r="BP12" s="294" t="e">
        <f t="shared" si="3"/>
        <v>#VALUE!</v>
      </c>
      <c r="BQ12" s="294" t="e">
        <f>BL12*1000000000/('1a. Spredningsmodell input'!$B$45*1000)</f>
        <v>#VALUE!</v>
      </c>
      <c r="BR12" s="295">
        <f t="shared" si="16"/>
        <v>100</v>
      </c>
      <c r="BS12" s="290" t="e">
        <f>($D12-Stoff!$P12*$D12)*EXP(-($F12+Stoff!$L12*365)*BR12)</f>
        <v>#VALUE!</v>
      </c>
      <c r="BT12" s="291" t="e">
        <f>(Stoff!$P12*$D12)*EXP(-'1a. Spredningsmodell input'!$B$43*BR12)</f>
        <v>#VALUE!</v>
      </c>
      <c r="BU12" s="290" t="e">
        <f>($D12-Stoff!$P12*$D12-BS12)*($F12/($F12+Stoff!$L12*365))</f>
        <v>#VALUE!</v>
      </c>
      <c r="BV12" s="290" t="e">
        <f>(Stoff!$P12*$D12)-BT12</f>
        <v>#VALUE!</v>
      </c>
      <c r="BW12" s="290" t="e">
        <f>($O12+BU12)*EXP(-($N12+Stoff!$M12*365)*BR12)</f>
        <v>#VALUE!</v>
      </c>
      <c r="BX12" s="290" t="e">
        <f>(Stoff!$P12*$O12+BV12)*EXP(-('1a. Spredningsmodell input'!$B$46)*BR12)</f>
        <v>#VALUE!</v>
      </c>
      <c r="BY12" s="292" t="e">
        <f>((BW12+BX12)*1000000000)/('1a. Spredningsmodell input'!$B$45*1000)</f>
        <v>#VALUE!</v>
      </c>
      <c r="BZ12" s="294" t="e">
        <f>0.001*BY12/('1a. Spredningsmodell input'!$C$25+'1a. Spredningsmodell input'!$C$26/Mellomregninger!$K12)</f>
        <v>#VALUE!</v>
      </c>
      <c r="CA12" s="294" t="e">
        <f>1000*BZ12/$K12+BX12*1000000000/('1a. Spredningsmodell input'!$B$45*1000)</f>
        <v>#VALUE!</v>
      </c>
      <c r="CB12" s="294" t="e">
        <f t="shared" si="4"/>
        <v>#VALUE!</v>
      </c>
      <c r="CC12" s="294" t="e">
        <f>BX12*1000000000/('1a. Spredningsmodell input'!$B$45*1000)</f>
        <v>#VALUE!</v>
      </c>
      <c r="CD12" s="294" t="e">
        <f>V12+'1a. Spredningsmodell input'!$C$35</f>
        <v>#VALUE!</v>
      </c>
      <c r="CE12" s="294" t="e">
        <f>($S12+$Q12*($O12+$I12*($D12*(1-Stoff!$P12))*(1-EXP(-($F12+Stoff!$L12*365)*CD12)))*(1-EXP(-($N12+Stoff!$M12*365)*CD12)))</f>
        <v>#VALUE!</v>
      </c>
      <c r="CF12" s="294" t="e">
        <f t="shared" si="5"/>
        <v>#VALUE!</v>
      </c>
      <c r="CG12" s="296" t="e">
        <f>(CF12/1000000)*'1a. Spredningsmodell input'!$B$49*'1a. Spredningsmodell input'!$C$35</f>
        <v>#VALUE!</v>
      </c>
      <c r="CH12" s="294" t="e">
        <f t="shared" si="17"/>
        <v>#VALUE!</v>
      </c>
      <c r="CI12" s="290" t="e">
        <f>(CH12/1000000)*'1a. Spredningsmodell input'!$B$49*'1a. Spredningsmodell input'!$C$35</f>
        <v>#VALUE!</v>
      </c>
      <c r="CJ12" s="297" t="e">
        <f>($S12)*EXP(-(Stoff!$N12*365+$U12)*CD12)+CG12</f>
        <v>#VALUE!</v>
      </c>
      <c r="CK12" s="297" t="e">
        <f>(Stoff!$P12*$S12+CI12)*EXP(-$T12*CD12)</f>
        <v>#VALUE!</v>
      </c>
      <c r="CL12" s="297" t="e">
        <f>(CJ12+CK12)*1000000000/('1a. Spredningsmodell input'!$C$36*1000)</f>
        <v>#VALUE!</v>
      </c>
      <c r="CM12" s="297" t="e">
        <f>$G12*(1-EXP(-'1a. Spredningsmodell input'!$B$43*Mellomregninger!CD12))*(1-EXP(-'1a. Spredningsmodell input'!$B$46*Mellomregninger!CD12))</f>
        <v>#VALUE!</v>
      </c>
      <c r="CN12" s="297"/>
      <c r="CO12" s="297"/>
      <c r="CP12" s="290">
        <f>IF(ISNUMBER(AH12),AH12+'1a. Spredningsmodell input'!$C$35,'1a. Spredningsmodell input'!$C$35)</f>
        <v>1</v>
      </c>
      <c r="CQ12" s="294" t="e">
        <f>($S12+$Q12*($O12+$I12*($D12*(1-Stoff!$P12))*(1-EXP(-($F12+Stoff!$L12*365)*CP12)))*(1-EXP(-($N12+Stoff!$M12*365)*CP12)))</f>
        <v>#VALUE!</v>
      </c>
      <c r="CR12" s="294" t="e">
        <f t="shared" si="6"/>
        <v>#VALUE!</v>
      </c>
      <c r="CS12" s="296" t="e">
        <f>(CR12/1000000)*('1a. Spredningsmodell input'!$B$49*'1a. Spredningsmodell input'!$C$35)</f>
        <v>#VALUE!</v>
      </c>
      <c r="CT12" s="294" t="e">
        <f t="shared" si="7"/>
        <v>#VALUE!</v>
      </c>
      <c r="CU12" s="290" t="e">
        <f>(CT12/1000000)*('1a. Spredningsmodell input'!$B$49)*'1a. Spredningsmodell input'!$C$35</f>
        <v>#VALUE!</v>
      </c>
      <c r="CV12" s="297" t="e">
        <f>($S12)*EXP(-(Stoff!$N12*365+$U12)*CP12)+CS12</f>
        <v>#VALUE!</v>
      </c>
      <c r="CW12" s="297" t="e">
        <f>(Stoff!$P12*$S12+CU12)*EXP(-$T12*CP12)</f>
        <v>#VALUE!</v>
      </c>
      <c r="CX12" s="297">
        <f>IF(ISERROR(CV12),0,(CV12+CW12)*1000000000/('1a. Spredningsmodell input'!$C$36*1000))</f>
        <v>0</v>
      </c>
      <c r="CY12" s="297" t="e">
        <f>$G12*(1-EXP(-'1a. Spredningsmodell input'!$B$43*Mellomregninger!CP12))*(1-EXP(-'1a. Spredningsmodell input'!$B$46*Mellomregninger!CP12))</f>
        <v>#VALUE!</v>
      </c>
      <c r="CZ12" s="297"/>
      <c r="DA12" s="297"/>
      <c r="DB12" s="262">
        <f t="shared" si="18"/>
        <v>5</v>
      </c>
      <c r="DC12" s="298" t="e">
        <f>($S12+$Q12*($O12+$I12*($D12*(1-Stoff!$P12))*(1-EXP(-($F12+Stoff!$L12*365)*DB12)))*(1-EXP(-($N12+Stoff!$M12*365)*DB12)))</f>
        <v>#VALUE!</v>
      </c>
      <c r="DD12" s="294" t="e">
        <f t="shared" si="8"/>
        <v>#VALUE!</v>
      </c>
      <c r="DE12" s="296" t="e">
        <f>(DD12/1000000)*('1a. Spredningsmodell input'!$B$49)*'1a. Spredningsmodell input'!$C$35</f>
        <v>#VALUE!</v>
      </c>
      <c r="DF12" s="294" t="e">
        <f t="shared" si="19"/>
        <v>#VALUE!</v>
      </c>
      <c r="DG12" s="290" t="e">
        <f>(DF12/1000000)*('1a. Spredningsmodell input'!$B$49)*'1a. Spredningsmodell input'!$C$35</f>
        <v>#VALUE!</v>
      </c>
      <c r="DH12" s="297" t="e">
        <f>($S12)*EXP(-(Stoff!$N12*365+$U12)*DB12)+DE12</f>
        <v>#VALUE!</v>
      </c>
      <c r="DI12" s="297" t="e">
        <f>(Stoff!$P12*$S12+DG12)*EXP(-$T12*DB12)</f>
        <v>#VALUE!</v>
      </c>
      <c r="DJ12" s="297" t="e">
        <f>(DH12+DI12)*1000000000/('1a. Spredningsmodell input'!$C$36*1000)</f>
        <v>#VALUE!</v>
      </c>
      <c r="DK12" s="297" t="e">
        <f>$G12*(1-EXP(-'1a. Spredningsmodell input'!$B$43*Mellomregninger!DB12))*(1-EXP(-'1a. Spredningsmodell input'!$B$46*Mellomregninger!DB12))</f>
        <v>#VALUE!</v>
      </c>
      <c r="DL12" s="297"/>
      <c r="DM12" s="297"/>
      <c r="DN12" s="262">
        <f t="shared" si="20"/>
        <v>20</v>
      </c>
      <c r="DO12" s="298" t="e">
        <f>($S12+$Q12*($O12+$I12*($D12*(1-Stoff!$P12))*(1-EXP(-($F12+Stoff!$L12*365)*DN12)))*(1-EXP(-($N12+Stoff!$M12*365)*DN12)))</f>
        <v>#VALUE!</v>
      </c>
      <c r="DP12" s="294" t="e">
        <f t="shared" si="21"/>
        <v>#VALUE!</v>
      </c>
      <c r="DQ12" s="296" t="e">
        <f>(DP12/1000000)*('1a. Spredningsmodell input'!$B$49)*'1a. Spredningsmodell input'!$C$35</f>
        <v>#VALUE!</v>
      </c>
      <c r="DR12" s="294" t="e">
        <f t="shared" si="9"/>
        <v>#VALUE!</v>
      </c>
      <c r="DS12" s="290" t="e">
        <f>(DR12/1000000)*('1a. Spredningsmodell input'!$B$49)*'1a. Spredningsmodell input'!$C$35</f>
        <v>#VALUE!</v>
      </c>
      <c r="DT12" s="297" t="e">
        <f>($S12)*EXP(-(Stoff!$N12*365+$U12)*DN12)+DQ12</f>
        <v>#VALUE!</v>
      </c>
      <c r="DU12" s="297" t="e">
        <f>(Stoff!$P12*$S12+DS12)*EXP(-$T12*DN12)</f>
        <v>#VALUE!</v>
      </c>
      <c r="DV12" s="297" t="e">
        <f>(DT12+DU12)*1000000000/('1a. Spredningsmodell input'!$C$36*1000)</f>
        <v>#VALUE!</v>
      </c>
      <c r="DW12" s="297" t="e">
        <f>$G12*(1-EXP(-'1a. Spredningsmodell input'!$B$43*Mellomregninger!DN12))*(1-EXP(-'1a. Spredningsmodell input'!$B$46*Mellomregninger!DN12))</f>
        <v>#VALUE!</v>
      </c>
      <c r="DX12" s="297"/>
      <c r="DY12" s="297"/>
      <c r="DZ12" s="262">
        <f t="shared" si="22"/>
        <v>100</v>
      </c>
      <c r="EA12" s="298" t="e">
        <f>($S12+$Q12*($O12+$I12*($D12*(1-Stoff!$P12))*(1-EXP(-($F12+Stoff!$L12*365)*DZ12)))*(1-EXP(-($N12+Stoff!$M12*365)*DZ12)))</f>
        <v>#VALUE!</v>
      </c>
      <c r="EB12" s="294" t="e">
        <f t="shared" si="10"/>
        <v>#VALUE!</v>
      </c>
      <c r="EC12" s="296" t="e">
        <f>(EB12/1000000)*('1a. Spredningsmodell input'!$B$49)*'1a. Spredningsmodell input'!$C$35</f>
        <v>#VALUE!</v>
      </c>
      <c r="ED12" s="294" t="e">
        <f t="shared" si="11"/>
        <v>#VALUE!</v>
      </c>
      <c r="EE12" s="290" t="e">
        <f>(ED12/1000000)*('1a. Spredningsmodell input'!$B$49)*'1a. Spredningsmodell input'!$C$35</f>
        <v>#VALUE!</v>
      </c>
      <c r="EF12" s="297" t="e">
        <f>($S12)*EXP(-(Stoff!$N12*365+$U12)*DZ12)+EC12</f>
        <v>#VALUE!</v>
      </c>
      <c r="EG12" s="297" t="e">
        <f>(Stoff!$P12*$S12+EE12)*EXP(-$T12*DZ12)</f>
        <v>#VALUE!</v>
      </c>
      <c r="EH12" s="297" t="e">
        <f>(EF12+EG12)*1000000000/('1a. Spredningsmodell input'!$C$36*1000)</f>
        <v>#VALUE!</v>
      </c>
      <c r="EI12" s="297" t="e">
        <f>$G12*(1-EXP(-'1a. Spredningsmodell input'!$B$43*Mellomregninger!DZ12))*(1-EXP(-'1a. Spredningsmodell input'!$B$46*Mellomregninger!DZ12))</f>
        <v>#VALUE!</v>
      </c>
      <c r="EJ12" s="297"/>
      <c r="EK12" s="297"/>
      <c r="EL12" s="262">
        <f t="shared" si="23"/>
        <v>1.0000000000000001E+25</v>
      </c>
      <c r="EM12" s="294" t="e">
        <f>($S12+$Q12*($O12+$I12*($D12*(1-Stoff!$P12))*(1-EXP(-($F12+Stoff!$L12*365)*EL12)))*(1-EXP(-($N12+Stoff!$M12*365)*EL12)))</f>
        <v>#VALUE!</v>
      </c>
      <c r="EN12" s="296" t="e">
        <f>($S12+$Q12*($O12+$I12*($D12*(1-Stoff!$P12))*(1-EXP(-($F12+Stoff!$L12*365)*(EL12-'1a. Spredningsmodell input'!$C$35))))*(1-EXP(-($N12+Stoff!$M12*365)*(EL12-'1a. Spredningsmodell input'!$C$35))))</f>
        <v>#VALUE!</v>
      </c>
      <c r="EO12" s="294" t="e">
        <f>IF(EL12&lt;'1a. Spredningsmodell input'!$C$35,EM12-($S12)*EXP(-(Stoff!$N12*365+$U12)*EL12),EM12-EN12)</f>
        <v>#VALUE!</v>
      </c>
      <c r="EP12" s="290" t="e">
        <f>((($D12*(Stoff!$P12))*(1-EXP(-'1a. Spredningsmodell input'!$B$43*EL12)))*(1-EXP(-'1a. Spredningsmodell input'!$B$46*EL12)))</f>
        <v>#VALUE!</v>
      </c>
      <c r="EQ12" s="294" t="e">
        <f>((($D12*(Stoff!$P12))*(1-EXP(-'1a. Spredningsmodell input'!$B$43*(EL12-'1a. Spredningsmodell input'!$C$35))))*(1-EXP(-'1a. Spredningsmodell input'!$B$46*(EL12-'1a. Spredningsmodell input'!$C$35))))</f>
        <v>#VALUE!</v>
      </c>
      <c r="ER12" s="290" t="e">
        <f>IF(EL12&lt;'1a. Spredningsmodell input'!$C$35,0,EP12-EQ12)</f>
        <v>#VALUE!</v>
      </c>
      <c r="ES12" s="297" t="e">
        <f>($S12)*EXP(-(Stoff!$N12*365+$U12)*EL12)+EO12</f>
        <v>#VALUE!</v>
      </c>
      <c r="ET12" s="297" t="e">
        <f>(Stoff!$P12*$S12+ER12)*EXP(-$T12*EL12)</f>
        <v>#VALUE!</v>
      </c>
      <c r="EU12" s="297" t="e">
        <f>(ES12+ET12)*1000000000/('1a. Spredningsmodell input'!$C$36*1000)</f>
        <v>#VALUE!</v>
      </c>
      <c r="EV12" s="262" t="e">
        <f t="shared" si="12"/>
        <v>#VALUE!</v>
      </c>
      <c r="EW12" s="299" t="e">
        <f t="shared" si="13"/>
        <v>#VALUE!</v>
      </c>
      <c r="EX12" s="262" t="e">
        <f t="shared" si="24"/>
        <v>#VALUE!</v>
      </c>
    </row>
    <row r="13" spans="1:154" x14ac:dyDescent="0.35">
      <c r="A13" s="50" t="s">
        <v>198</v>
      </c>
      <c r="B13" s="34" t="str">
        <f>IF(ISNUMBER('1c. Kons. porevann'!E13),1000*'1c. Kons. porevann'!E13,IF(ISNUMBER('1b. Kons. umettet jord'!E13),1000*'1b. Kons. umettet jord'!E13/C13,""))</f>
        <v/>
      </c>
      <c r="C13" s="244">
        <f>IF(Stoff!B13="uorganisk",Stoff!C13,Stoff!D13*'1a. Spredningsmodell input'!$C$11)</f>
        <v>7079</v>
      </c>
      <c r="D13" s="34" t="str">
        <f>IF(ISNUMBER(B13),0.000001*('1b. Kons. umettet jord'!G13*'1a. Spredningsmodell input'!$C$12+B13*0.001*'1a. Spredningsmodell input'!$C$14)*1000*'1a. Spredningsmodell input'!$B$41*'1a. Spredningsmodell input'!$C$18,"")</f>
        <v/>
      </c>
      <c r="E13" s="283">
        <f>C13*'1a. Spredningsmodell input'!$C$12/'1a. Spredningsmodell input'!$C$14+1</f>
        <v>60172.499999999993</v>
      </c>
      <c r="F13" s="284">
        <f>'1a. Spredningsmodell input'!$B$43/E13</f>
        <v>2.4928331048236319E-5</v>
      </c>
      <c r="G13" s="34" t="e">
        <f>Stoff!P13*Mellomregninger!D13</f>
        <v>#VALUE!</v>
      </c>
      <c r="H13" s="283" t="e">
        <f>(D13-G13)*(F13/(F13+Stoff!L13))</f>
        <v>#VALUE!</v>
      </c>
      <c r="I13" s="283">
        <f>F13/(F13+Stoff!L13)</f>
        <v>1</v>
      </c>
      <c r="J13" s="285" t="str">
        <f>IF(B13="","",IF(ISNUMBER('1d. Kons. mettet sone'!E13),'1d. Kons. mettet sone'!E13,IF(ISNUMBER('1e. Kons. grunnvann'!E13),'1e. Kons. grunnvann'!E13*Mellomregninger!K13,0)))</f>
        <v/>
      </c>
      <c r="K13" s="286">
        <f>IF(Stoff!B13="uorganisk",Stoff!C13,Stoff!D13*'1a. Spredningsmodell input'!$C$24)</f>
        <v>7079</v>
      </c>
      <c r="L13" s="27" t="e">
        <f>IF(ISNUMBER('1e. Kons. grunnvann'!E13),1000*'1e. Kons. grunnvann'!E13,1000*J13/K13)</f>
        <v>#VALUE!</v>
      </c>
      <c r="M13" s="34">
        <f>K13*'1a. Spredningsmodell input'!$C$25/'1a. Spredningsmodell input'!$C$26+1</f>
        <v>30086.749999999996</v>
      </c>
      <c r="N13" s="284">
        <f>'1a. Spredningsmodell input'!$C$26/M13</f>
        <v>1.3294888946130775E-5</v>
      </c>
      <c r="O13" s="287" t="e">
        <f>0.000000001*(J13*'1a. Spredningsmodell input'!$C$25+L13)*1000*'1a. Spredningsmodell input'!$B$45</f>
        <v>#VALUE!</v>
      </c>
      <c r="P13" s="287" t="e">
        <f>O13*Stoff!P13</f>
        <v>#VALUE!</v>
      </c>
      <c r="Q13" s="287">
        <f>N13/(N13+Stoff!M13)</f>
        <v>1</v>
      </c>
      <c r="R13" s="288">
        <f>IF(ISNUMBER('1f. Kons. resipient'!E13),'1f. Kons. resipient'!E13,0)</f>
        <v>0</v>
      </c>
      <c r="S13" s="288">
        <f>0.000000001*'1a. Spredningsmodell input'!$C$36*R13*1000</f>
        <v>0</v>
      </c>
      <c r="T13" s="288">
        <f>1/'1a. Spredningsmodell input'!$C$35</f>
        <v>1</v>
      </c>
      <c r="U13" s="288">
        <f>1/'1a. Spredningsmodell input'!$C$35</f>
        <v>1</v>
      </c>
      <c r="V13" s="300" t="e">
        <f>(1/($N13+Stoff!$L13))*(LN(($D13*$I13/($D13*$I13+$J13))*($F13+Stoff!$L13+$N13+Stoff!$M13)/($N13+Stoff!$M13)))</f>
        <v>#VALUE!</v>
      </c>
      <c r="W13" s="290" t="e">
        <f>($D13-Stoff!$P13*$D13)*EXP(-($F13+Stoff!$L13*365)*V13)</f>
        <v>#VALUE!</v>
      </c>
      <c r="X13" s="291" t="e">
        <f>(Stoff!$P13*$D13)*EXP(-'1a. Spredningsmodell input'!$B$43*V13)</f>
        <v>#VALUE!</v>
      </c>
      <c r="Y13" s="290" t="e">
        <f>($D13-Stoff!$P13*$D13-W13)*($F13/($F13+Stoff!$L13*365))</f>
        <v>#VALUE!</v>
      </c>
      <c r="Z13" s="290" t="e">
        <f>(Stoff!$P13*$D13)-X13</f>
        <v>#VALUE!</v>
      </c>
      <c r="AA13" s="290" t="e">
        <f>($O13+Y13)*EXP(-($N13+Stoff!$M13*365)*V13)</f>
        <v>#VALUE!</v>
      </c>
      <c r="AB13" s="290" t="e">
        <f>(Stoff!$P13*$O13+Z13)*EXP(-('1a. Spredningsmodell input'!$B$46)*V13)</f>
        <v>#VALUE!</v>
      </c>
      <c r="AC13" s="292" t="e">
        <f>((AA13+AB13)*1000000000)/('1a. Spredningsmodell input'!$B$45*1000)</f>
        <v>#VALUE!</v>
      </c>
      <c r="AD13" s="294" t="e">
        <f>0.001*AC13/('1a. Spredningsmodell input'!$C$25+'1a. Spredningsmodell input'!$C$26/Mellomregninger!$K13)</f>
        <v>#VALUE!</v>
      </c>
      <c r="AE13" s="294" t="e">
        <f>1000*AD13/$K13+AB13*1000000000/('1a. Spredningsmodell input'!$B$45*1000)</f>
        <v>#VALUE!</v>
      </c>
      <c r="AF13" s="294" t="e">
        <f t="shared" si="0"/>
        <v>#VALUE!</v>
      </c>
      <c r="AG13" s="294" t="e">
        <f>AB13*1000000000/('1a. Spredningsmodell input'!$B$45*1000)</f>
        <v>#VALUE!</v>
      </c>
      <c r="AH13" s="300" t="e">
        <f>(1/('1a. Spredningsmodell input'!$B$46))*(LN(($D13*Stoff!$P13/($D13*Stoff!$P13+$P13*Stoff!$P13))*('1a. Spredningsmodell input'!$B$43+'1a. Spredningsmodell input'!$B$46)/('1a. Spredningsmodell input'!$B$46)))</f>
        <v>#VALUE!</v>
      </c>
      <c r="AI13" s="290" t="e">
        <f>($D13-Stoff!$P13*$D13)*EXP(-($F13+Stoff!$L13*365)*AH13)</f>
        <v>#VALUE!</v>
      </c>
      <c r="AJ13" s="291" t="e">
        <f>(Stoff!$P13*$D13)*EXP(-'1a. Spredningsmodell input'!$B$43*AH13)</f>
        <v>#VALUE!</v>
      </c>
      <c r="AK13" s="290" t="e">
        <f>($D13-Stoff!$P13*$D13-AI13)*($F13/($F13+Stoff!$L13*365))</f>
        <v>#VALUE!</v>
      </c>
      <c r="AL13" s="290" t="e">
        <f>(Stoff!$P13*$D13)-AJ13</f>
        <v>#VALUE!</v>
      </c>
      <c r="AM13" s="290" t="e">
        <f>($O13+AK13)*EXP(-($N13+Stoff!$M13*365)*AH13)</f>
        <v>#VALUE!</v>
      </c>
      <c r="AN13" s="290" t="e">
        <f>(Stoff!$P13*$O13+AL13)*EXP(-('1a. Spredningsmodell input'!$B$46)*AH13)</f>
        <v>#VALUE!</v>
      </c>
      <c r="AO13" s="292" t="e">
        <f>((AM13+AN13)*1000000000)/('1a. Spredningsmodell input'!$B$45*1000)</f>
        <v>#VALUE!</v>
      </c>
      <c r="AP13" s="294" t="e">
        <f>0.001*AO13/('1a. Spredningsmodell input'!$C$25+'1a. Spredningsmodell input'!$C$26/Mellomregninger!$K13)</f>
        <v>#VALUE!</v>
      </c>
      <c r="AQ13" s="294" t="e">
        <f>1000*AP13/$K13+AN13*1000000000/('1a. Spredningsmodell input'!$B$45*1000)</f>
        <v>#VALUE!</v>
      </c>
      <c r="AR13" s="294" t="e">
        <f t="shared" si="1"/>
        <v>#VALUE!</v>
      </c>
      <c r="AS13" s="294" t="e">
        <f>AN13*1000000000/('1a. Spredningsmodell input'!$B$45*1000)</f>
        <v>#VALUE!</v>
      </c>
      <c r="AT13" s="295">
        <f t="shared" si="14"/>
        <v>5</v>
      </c>
      <c r="AU13" s="290" t="e">
        <f>($D13-Stoff!$P13*$D13)*EXP(-($F13+Stoff!$L13*365)*AT13)</f>
        <v>#VALUE!</v>
      </c>
      <c r="AV13" s="291" t="e">
        <f>(Stoff!$P13*$D13)*EXP(-'1a. Spredningsmodell input'!$B$43*AT13)</f>
        <v>#VALUE!</v>
      </c>
      <c r="AW13" s="290" t="e">
        <f>($D13-Stoff!$P13*$D13-AU13)*($F13/($F13+Stoff!$L13*365))</f>
        <v>#VALUE!</v>
      </c>
      <c r="AX13" s="290" t="e">
        <f>(Stoff!$P13*$D13)-AV13</f>
        <v>#VALUE!</v>
      </c>
      <c r="AY13" s="290" t="e">
        <f>($O13+AW13)*EXP(-($N13+Stoff!$M13*365)*AT13)</f>
        <v>#VALUE!</v>
      </c>
      <c r="AZ13" s="290" t="e">
        <f>(Stoff!$P13*$O13+AX13)*EXP(-('1a. Spredningsmodell input'!$B$46)*AT13)</f>
        <v>#VALUE!</v>
      </c>
      <c r="BA13" s="292" t="e">
        <f>((AY13+AZ13)*1000000000)/('1a. Spredningsmodell input'!$B$45*1000)</f>
        <v>#VALUE!</v>
      </c>
      <c r="BB13" s="294" t="e">
        <f>0.001*BA13/('1a. Spredningsmodell input'!$C$25+'1a. Spredningsmodell input'!$C$26/Mellomregninger!$K13)</f>
        <v>#VALUE!</v>
      </c>
      <c r="BC13" s="294" t="e">
        <f>1000*BB13/$K13+AZ13*1000000000/('1a. Spredningsmodell input'!$B$45*1000)</f>
        <v>#VALUE!</v>
      </c>
      <c r="BD13" s="294" t="e">
        <f t="shared" si="2"/>
        <v>#VALUE!</v>
      </c>
      <c r="BE13" s="294" t="e">
        <f>AZ13*1000000000/('1a. Spredningsmodell input'!$B$45*1000)</f>
        <v>#VALUE!</v>
      </c>
      <c r="BF13" s="295">
        <f t="shared" si="15"/>
        <v>20</v>
      </c>
      <c r="BG13" s="290" t="e">
        <f>($D13-Stoff!$P13*$D13)*EXP(-($F13+Stoff!$L13*365)*BF13)</f>
        <v>#VALUE!</v>
      </c>
      <c r="BH13" s="291" t="e">
        <f>(Stoff!$P13*$D13)*EXP(-'1a. Spredningsmodell input'!$B$43*BF13)</f>
        <v>#VALUE!</v>
      </c>
      <c r="BI13" s="290" t="e">
        <f>($D13-Stoff!$P13*$D13-BG13)*($F13/($F13+Stoff!$L13*365))</f>
        <v>#VALUE!</v>
      </c>
      <c r="BJ13" s="290" t="e">
        <f>(Stoff!$P13*$D13)-BH13</f>
        <v>#VALUE!</v>
      </c>
      <c r="BK13" s="290" t="e">
        <f>($O13+BI13)*EXP(-($N13+Stoff!$M13*365)*BF13)</f>
        <v>#VALUE!</v>
      </c>
      <c r="BL13" s="290" t="e">
        <f>(Stoff!$P13*$O13+BJ13)*EXP(-('1a. Spredningsmodell input'!$B$46)*BF13)</f>
        <v>#VALUE!</v>
      </c>
      <c r="BM13" s="292" t="e">
        <f>((BK13+BL13)*1000000000)/('1a. Spredningsmodell input'!$B$45*1000)</f>
        <v>#VALUE!</v>
      </c>
      <c r="BN13" s="294" t="e">
        <f>0.001*BM13/('1a. Spredningsmodell input'!$C$25+'1a. Spredningsmodell input'!$C$26/Mellomregninger!$K13)</f>
        <v>#VALUE!</v>
      </c>
      <c r="BO13" s="294" t="e">
        <f>1000*BN13/$K13+BL13*1000000000/('1a. Spredningsmodell input'!$B$45*1000)</f>
        <v>#VALUE!</v>
      </c>
      <c r="BP13" s="294" t="e">
        <f t="shared" si="3"/>
        <v>#VALUE!</v>
      </c>
      <c r="BQ13" s="294" t="e">
        <f>BL13*1000000000/('1a. Spredningsmodell input'!$B$45*1000)</f>
        <v>#VALUE!</v>
      </c>
      <c r="BR13" s="295">
        <f t="shared" si="16"/>
        <v>100</v>
      </c>
      <c r="BS13" s="290" t="e">
        <f>($D13-Stoff!$P13*$D13)*EXP(-($F13+Stoff!$L13*365)*BR13)</f>
        <v>#VALUE!</v>
      </c>
      <c r="BT13" s="291" t="e">
        <f>(Stoff!$P13*$D13)*EXP(-'1a. Spredningsmodell input'!$B$43*BR13)</f>
        <v>#VALUE!</v>
      </c>
      <c r="BU13" s="290" t="e">
        <f>($D13-Stoff!$P13*$D13-BS13)*($F13/($F13+Stoff!$L13*365))</f>
        <v>#VALUE!</v>
      </c>
      <c r="BV13" s="290" t="e">
        <f>(Stoff!$P13*$D13)-BT13</f>
        <v>#VALUE!</v>
      </c>
      <c r="BW13" s="290" t="e">
        <f>($O13+BU13)*EXP(-($N13+Stoff!$M13*365)*BR13)</f>
        <v>#VALUE!</v>
      </c>
      <c r="BX13" s="290" t="e">
        <f>(Stoff!$P13*$O13+BV13)*EXP(-('1a. Spredningsmodell input'!$B$46)*BR13)</f>
        <v>#VALUE!</v>
      </c>
      <c r="BY13" s="292" t="e">
        <f>((BW13+BX13)*1000000000)/('1a. Spredningsmodell input'!$B$45*1000)</f>
        <v>#VALUE!</v>
      </c>
      <c r="BZ13" s="294" t="e">
        <f>0.001*BY13/('1a. Spredningsmodell input'!$C$25+'1a. Spredningsmodell input'!$C$26/Mellomregninger!$K13)</f>
        <v>#VALUE!</v>
      </c>
      <c r="CA13" s="294" t="e">
        <f>1000*BZ13/$K13+BX13*1000000000/('1a. Spredningsmodell input'!$B$45*1000)</f>
        <v>#VALUE!</v>
      </c>
      <c r="CB13" s="294" t="e">
        <f t="shared" si="4"/>
        <v>#VALUE!</v>
      </c>
      <c r="CC13" s="294" t="e">
        <f>BX13*1000000000/('1a. Spredningsmodell input'!$B$45*1000)</f>
        <v>#VALUE!</v>
      </c>
      <c r="CD13" s="294" t="e">
        <f>V13+'1a. Spredningsmodell input'!$C$35</f>
        <v>#VALUE!</v>
      </c>
      <c r="CE13" s="294" t="e">
        <f>($S13+$Q13*($O13+$I13*($D13*(1-Stoff!$P13))*(1-EXP(-($F13+Stoff!$L13*365)*CD13)))*(1-EXP(-($N13+Stoff!$M13*365)*CD13)))</f>
        <v>#VALUE!</v>
      </c>
      <c r="CF13" s="294" t="e">
        <f t="shared" si="5"/>
        <v>#VALUE!</v>
      </c>
      <c r="CG13" s="296" t="e">
        <f>(CF13/1000000)*'1a. Spredningsmodell input'!$B$49*'1a. Spredningsmodell input'!$C$35</f>
        <v>#VALUE!</v>
      </c>
      <c r="CH13" s="294" t="e">
        <f t="shared" si="17"/>
        <v>#VALUE!</v>
      </c>
      <c r="CI13" s="290" t="e">
        <f>(CH13/1000000)*'1a. Spredningsmodell input'!$B$49*'1a. Spredningsmodell input'!$C$35</f>
        <v>#VALUE!</v>
      </c>
      <c r="CJ13" s="297" t="e">
        <f>($S13)*EXP(-(Stoff!$N13*365+$U13)*CD13)+CG13</f>
        <v>#VALUE!</v>
      </c>
      <c r="CK13" s="297" t="e">
        <f>(Stoff!$P13*$S13+CI13)*EXP(-$T13*CD13)</f>
        <v>#VALUE!</v>
      </c>
      <c r="CL13" s="297" t="e">
        <f>(CJ13+CK13)*1000000000/('1a. Spredningsmodell input'!$C$36*1000)</f>
        <v>#VALUE!</v>
      </c>
      <c r="CM13" s="297" t="e">
        <f>$G13*(1-EXP(-'1a. Spredningsmodell input'!$B$43*Mellomregninger!CD13))*(1-EXP(-'1a. Spredningsmodell input'!$B$46*Mellomregninger!CD13))</f>
        <v>#VALUE!</v>
      </c>
      <c r="CN13" s="297"/>
      <c r="CO13" s="297"/>
      <c r="CP13" s="290">
        <f>IF(ISNUMBER(AH13),AH13+'1a. Spredningsmodell input'!$C$35,'1a. Spredningsmodell input'!$C$35)</f>
        <v>1</v>
      </c>
      <c r="CQ13" s="294" t="e">
        <f>($S13+$Q13*($O13+$I13*($D13*(1-Stoff!$P13))*(1-EXP(-($F13+Stoff!$L13*365)*CP13)))*(1-EXP(-($N13+Stoff!$M13*365)*CP13)))</f>
        <v>#VALUE!</v>
      </c>
      <c r="CR13" s="294" t="e">
        <f t="shared" si="6"/>
        <v>#VALUE!</v>
      </c>
      <c r="CS13" s="296" t="e">
        <f>(CR13/1000000)*('1a. Spredningsmodell input'!$B$49*'1a. Spredningsmodell input'!$C$35)</f>
        <v>#VALUE!</v>
      </c>
      <c r="CT13" s="294" t="e">
        <f t="shared" si="7"/>
        <v>#VALUE!</v>
      </c>
      <c r="CU13" s="290" t="e">
        <f>(CT13/1000000)*('1a. Spredningsmodell input'!$B$49)*'1a. Spredningsmodell input'!$C$35</f>
        <v>#VALUE!</v>
      </c>
      <c r="CV13" s="297" t="e">
        <f>($S13)*EXP(-(Stoff!$N13*365+$U13)*CP13)+CS13</f>
        <v>#VALUE!</v>
      </c>
      <c r="CW13" s="297" t="e">
        <f>(Stoff!$P13*$S13+CU13)*EXP(-$T13*CP13)</f>
        <v>#VALUE!</v>
      </c>
      <c r="CX13" s="297">
        <f>IF(ISERROR(CV13),0,(CV13+CW13)*1000000000/('1a. Spredningsmodell input'!$C$36*1000))</f>
        <v>0</v>
      </c>
      <c r="CY13" s="297" t="e">
        <f>$G13*(1-EXP(-'1a. Spredningsmodell input'!$B$43*Mellomregninger!CP13))*(1-EXP(-'1a. Spredningsmodell input'!$B$46*Mellomregninger!CP13))</f>
        <v>#VALUE!</v>
      </c>
      <c r="CZ13" s="297"/>
      <c r="DA13" s="297"/>
      <c r="DB13" s="262">
        <f t="shared" si="18"/>
        <v>5</v>
      </c>
      <c r="DC13" s="298" t="e">
        <f>($S13+$Q13*($O13+$I13*($D13*(1-Stoff!$P13))*(1-EXP(-($F13+Stoff!$L13*365)*DB13)))*(1-EXP(-($N13+Stoff!$M13*365)*DB13)))</f>
        <v>#VALUE!</v>
      </c>
      <c r="DD13" s="294" t="e">
        <f t="shared" si="8"/>
        <v>#VALUE!</v>
      </c>
      <c r="DE13" s="296" t="e">
        <f>(DD13/1000000)*('1a. Spredningsmodell input'!$B$49)*'1a. Spredningsmodell input'!$C$35</f>
        <v>#VALUE!</v>
      </c>
      <c r="DF13" s="294" t="e">
        <f t="shared" si="19"/>
        <v>#VALUE!</v>
      </c>
      <c r="DG13" s="290" t="e">
        <f>(DF13/1000000)*('1a. Spredningsmodell input'!$B$49)*'1a. Spredningsmodell input'!$C$35</f>
        <v>#VALUE!</v>
      </c>
      <c r="DH13" s="297" t="e">
        <f>($S13)*EXP(-(Stoff!$N13*365+$U13)*DB13)+DE13</f>
        <v>#VALUE!</v>
      </c>
      <c r="DI13" s="297" t="e">
        <f>(Stoff!$P13*$S13+DG13)*EXP(-$T13*DB13)</f>
        <v>#VALUE!</v>
      </c>
      <c r="DJ13" s="297" t="e">
        <f>(DH13+DI13)*1000000000/('1a. Spredningsmodell input'!$C$36*1000)</f>
        <v>#VALUE!</v>
      </c>
      <c r="DK13" s="297" t="e">
        <f>$G13*(1-EXP(-'1a. Spredningsmodell input'!$B$43*Mellomregninger!DB13))*(1-EXP(-'1a. Spredningsmodell input'!$B$46*Mellomregninger!DB13))</f>
        <v>#VALUE!</v>
      </c>
      <c r="DL13" s="297"/>
      <c r="DM13" s="297"/>
      <c r="DN13" s="262">
        <f t="shared" si="20"/>
        <v>20</v>
      </c>
      <c r="DO13" s="298" t="e">
        <f>($S13+$Q13*($O13+$I13*($D13*(1-Stoff!$P13))*(1-EXP(-($F13+Stoff!$L13*365)*DN13)))*(1-EXP(-($N13+Stoff!$M13*365)*DN13)))</f>
        <v>#VALUE!</v>
      </c>
      <c r="DP13" s="294" t="e">
        <f t="shared" si="21"/>
        <v>#VALUE!</v>
      </c>
      <c r="DQ13" s="296" t="e">
        <f>(DP13/1000000)*('1a. Spredningsmodell input'!$B$49)*'1a. Spredningsmodell input'!$C$35</f>
        <v>#VALUE!</v>
      </c>
      <c r="DR13" s="294" t="e">
        <f t="shared" si="9"/>
        <v>#VALUE!</v>
      </c>
      <c r="DS13" s="290" t="e">
        <f>(DR13/1000000)*('1a. Spredningsmodell input'!$B$49)*'1a. Spredningsmodell input'!$C$35</f>
        <v>#VALUE!</v>
      </c>
      <c r="DT13" s="297" t="e">
        <f>($S13)*EXP(-(Stoff!$N13*365+$U13)*DN13)+DQ13</f>
        <v>#VALUE!</v>
      </c>
      <c r="DU13" s="297" t="e">
        <f>(Stoff!$P13*$S13+DS13)*EXP(-$T13*DN13)</f>
        <v>#VALUE!</v>
      </c>
      <c r="DV13" s="297" t="e">
        <f>(DT13+DU13)*1000000000/('1a. Spredningsmodell input'!$C$36*1000)</f>
        <v>#VALUE!</v>
      </c>
      <c r="DW13" s="297" t="e">
        <f>$G13*(1-EXP(-'1a. Spredningsmodell input'!$B$43*Mellomregninger!DN13))*(1-EXP(-'1a. Spredningsmodell input'!$B$46*Mellomregninger!DN13))</f>
        <v>#VALUE!</v>
      </c>
      <c r="DX13" s="297"/>
      <c r="DY13" s="297"/>
      <c r="DZ13" s="262">
        <f t="shared" si="22"/>
        <v>100</v>
      </c>
      <c r="EA13" s="298" t="e">
        <f>($S13+$Q13*($O13+$I13*($D13*(1-Stoff!$P13))*(1-EXP(-($F13+Stoff!$L13*365)*DZ13)))*(1-EXP(-($N13+Stoff!$M13*365)*DZ13)))</f>
        <v>#VALUE!</v>
      </c>
      <c r="EB13" s="294" t="e">
        <f t="shared" si="10"/>
        <v>#VALUE!</v>
      </c>
      <c r="EC13" s="296" t="e">
        <f>(EB13/1000000)*('1a. Spredningsmodell input'!$B$49)*'1a. Spredningsmodell input'!$C$35</f>
        <v>#VALUE!</v>
      </c>
      <c r="ED13" s="294" t="e">
        <f t="shared" si="11"/>
        <v>#VALUE!</v>
      </c>
      <c r="EE13" s="290" t="e">
        <f>(ED13/1000000)*('1a. Spredningsmodell input'!$B$49)*'1a. Spredningsmodell input'!$C$35</f>
        <v>#VALUE!</v>
      </c>
      <c r="EF13" s="297" t="e">
        <f>($S13)*EXP(-(Stoff!$N13*365+$U13)*DZ13)+EC13</f>
        <v>#VALUE!</v>
      </c>
      <c r="EG13" s="297" t="e">
        <f>(Stoff!$P13*$S13+EE13)*EXP(-$T13*DZ13)</f>
        <v>#VALUE!</v>
      </c>
      <c r="EH13" s="297" t="e">
        <f>(EF13+EG13)*1000000000/('1a. Spredningsmodell input'!$C$36*1000)</f>
        <v>#VALUE!</v>
      </c>
      <c r="EI13" s="297" t="e">
        <f>$G13*(1-EXP(-'1a. Spredningsmodell input'!$B$43*Mellomregninger!DZ13))*(1-EXP(-'1a. Spredningsmodell input'!$B$46*Mellomregninger!DZ13))</f>
        <v>#VALUE!</v>
      </c>
      <c r="EJ13" s="297"/>
      <c r="EK13" s="297"/>
      <c r="EL13" s="262">
        <f t="shared" si="23"/>
        <v>1.0000000000000001E+25</v>
      </c>
      <c r="EM13" s="294" t="e">
        <f>($S13+$Q13*($O13+$I13*($D13*(1-Stoff!$P13))*(1-EXP(-($F13+Stoff!$L13*365)*EL13)))*(1-EXP(-($N13+Stoff!$M13*365)*EL13)))</f>
        <v>#VALUE!</v>
      </c>
      <c r="EN13" s="296" t="e">
        <f>($S13+$Q13*($O13+$I13*($D13*(1-Stoff!$P13))*(1-EXP(-($F13+Stoff!$L13*365)*(EL13-'1a. Spredningsmodell input'!$C$35))))*(1-EXP(-($N13+Stoff!$M13*365)*(EL13-'1a. Spredningsmodell input'!$C$35))))</f>
        <v>#VALUE!</v>
      </c>
      <c r="EO13" s="294" t="e">
        <f>IF(EL13&lt;'1a. Spredningsmodell input'!$C$35,EM13-($S13)*EXP(-(Stoff!$N13*365+$U13)*EL13),EM13-EN13)</f>
        <v>#VALUE!</v>
      </c>
      <c r="EP13" s="290" t="e">
        <f>((($D13*(Stoff!$P13))*(1-EXP(-'1a. Spredningsmodell input'!$B$43*EL13)))*(1-EXP(-'1a. Spredningsmodell input'!$B$46*EL13)))</f>
        <v>#VALUE!</v>
      </c>
      <c r="EQ13" s="294" t="e">
        <f>((($D13*(Stoff!$P13))*(1-EXP(-'1a. Spredningsmodell input'!$B$43*(EL13-'1a. Spredningsmodell input'!$C$35))))*(1-EXP(-'1a. Spredningsmodell input'!$B$46*(EL13-'1a. Spredningsmodell input'!$C$35))))</f>
        <v>#VALUE!</v>
      </c>
      <c r="ER13" s="290" t="e">
        <f>IF(EL13&lt;'1a. Spredningsmodell input'!$C$35,0,EP13-EQ13)</f>
        <v>#VALUE!</v>
      </c>
      <c r="ES13" s="297" t="e">
        <f>($S13)*EXP(-(Stoff!$N13*365+$U13)*EL13)+EO13</f>
        <v>#VALUE!</v>
      </c>
      <c r="ET13" s="297" t="e">
        <f>(Stoff!$P13*$S13+ER13)*EXP(-$T13*EL13)</f>
        <v>#VALUE!</v>
      </c>
      <c r="EU13" s="297" t="e">
        <f>(ES13+ET13)*1000000000/('1a. Spredningsmodell input'!$C$36*1000)</f>
        <v>#VALUE!</v>
      </c>
      <c r="EV13" s="262" t="e">
        <f t="shared" si="12"/>
        <v>#VALUE!</v>
      </c>
      <c r="EW13" s="299" t="e">
        <f t="shared" si="13"/>
        <v>#VALUE!</v>
      </c>
      <c r="EX13" s="262" t="e">
        <f t="shared" si="24"/>
        <v>#VALUE!</v>
      </c>
    </row>
    <row r="14" spans="1:154" x14ac:dyDescent="0.35">
      <c r="A14" s="50" t="s">
        <v>197</v>
      </c>
      <c r="B14" s="34" t="str">
        <f>IF(ISNUMBER('1c. Kons. porevann'!E14),1000*'1c. Kons. porevann'!E14,IF(ISNUMBER('1b. Kons. umettet jord'!E14),1000*'1b. Kons. umettet jord'!E14/C14,""))</f>
        <v/>
      </c>
      <c r="C14" s="244">
        <f>IF(Stoff!B14="uorganisk",Stoff!C14,Stoff!D14*'1a. Spredningsmodell input'!$C$11)</f>
        <v>2.7999999999999997E-2</v>
      </c>
      <c r="D14" s="34" t="str">
        <f>IF(ISNUMBER(B14),0.000001*('1b. Kons. umettet jord'!G14*'1a. Spredningsmodell input'!$C$12+B14*0.001*'1a. Spredningsmodell input'!$C$14)*1000*'1a. Spredningsmodell input'!$B$41*'1a. Spredningsmodell input'!$C$18,"")</f>
        <v/>
      </c>
      <c r="E14" s="283">
        <f>C14*'1a. Spredningsmodell input'!$C$12/'1a. Spredningsmodell input'!$C$14+1</f>
        <v>1.238</v>
      </c>
      <c r="F14" s="284">
        <f>'1a. Spredningsmodell input'!$B$43/E14</f>
        <v>1.2116316639741518</v>
      </c>
      <c r="G14" s="34" t="e">
        <f>Stoff!P14*Mellomregninger!D14</f>
        <v>#VALUE!</v>
      </c>
      <c r="H14" s="283" t="e">
        <f>(D14-G14)*(F14/(F14+Stoff!L14))</f>
        <v>#VALUE!</v>
      </c>
      <c r="I14" s="283">
        <f>F14/(F14+Stoff!L14)</f>
        <v>1</v>
      </c>
      <c r="J14" s="285" t="str">
        <f>IF(B14="","",IF(ISNUMBER('1d. Kons. mettet sone'!E14),'1d. Kons. mettet sone'!E14,IF(ISNUMBER('1e. Kons. grunnvann'!E14),'1e. Kons. grunnvann'!E14*Mellomregninger!K14,0)))</f>
        <v/>
      </c>
      <c r="K14" s="286">
        <f>IF(Stoff!B14="uorganisk",Stoff!C14,Stoff!D14*'1a. Spredningsmodell input'!$C$24)</f>
        <v>2.7999999999999997E-2</v>
      </c>
      <c r="L14" s="27" t="e">
        <f>IF(ISNUMBER('1e. Kons. grunnvann'!E14),1000*'1e. Kons. grunnvann'!E14,1000*J14/K14)</f>
        <v>#VALUE!</v>
      </c>
      <c r="M14" s="34">
        <f>K14*'1a. Spredningsmodell input'!$C$25/'1a. Spredningsmodell input'!$C$26+1</f>
        <v>1.119</v>
      </c>
      <c r="N14" s="284">
        <f>'1a. Spredningsmodell input'!$C$26/M14</f>
        <v>0.35746201966041108</v>
      </c>
      <c r="O14" s="287" t="e">
        <f>0.000000001*(J14*'1a. Spredningsmodell input'!$C$25+L14)*1000*'1a. Spredningsmodell input'!$B$45</f>
        <v>#VALUE!</v>
      </c>
      <c r="P14" s="287" t="e">
        <f>O14*Stoff!P14</f>
        <v>#VALUE!</v>
      </c>
      <c r="Q14" s="287">
        <f>N14/(N14+Stoff!M14)</f>
        <v>1</v>
      </c>
      <c r="R14" s="288">
        <f>IF(ISNUMBER('1f. Kons. resipient'!E14),'1f. Kons. resipient'!E14,0)</f>
        <v>0</v>
      </c>
      <c r="S14" s="288">
        <f>0.000000001*'1a. Spredningsmodell input'!$C$36*R14*1000</f>
        <v>0</v>
      </c>
      <c r="T14" s="288">
        <f>1/'1a. Spredningsmodell input'!$C$35</f>
        <v>1</v>
      </c>
      <c r="U14" s="288">
        <f>1/'1a. Spredningsmodell input'!$C$35</f>
        <v>1</v>
      </c>
      <c r="V14" s="300" t="e">
        <f>(1/($N14+Stoff!$L14))*(LN(($D14*$I14/($D14*$I14+$J14))*($F14+Stoff!$L14+$N14+Stoff!$M14)/($N14+Stoff!$M14)))</f>
        <v>#VALUE!</v>
      </c>
      <c r="W14" s="290" t="e">
        <f>($D14-Stoff!$P14*$D14)*EXP(-($F14+Stoff!$L14*365)*V14)</f>
        <v>#VALUE!</v>
      </c>
      <c r="X14" s="291" t="e">
        <f>(Stoff!$P14*$D14)*EXP(-'1a. Spredningsmodell input'!$B$43*V14)</f>
        <v>#VALUE!</v>
      </c>
      <c r="Y14" s="290" t="e">
        <f>($D14-Stoff!$P14*$D14-W14)*($F14/($F14+Stoff!$L14*365))</f>
        <v>#VALUE!</v>
      </c>
      <c r="Z14" s="290" t="e">
        <f>(Stoff!$P14*$D14)-X14</f>
        <v>#VALUE!</v>
      </c>
      <c r="AA14" s="290" t="e">
        <f>($O14+Y14)*EXP(-($N14+Stoff!$M14*365)*V14)</f>
        <v>#VALUE!</v>
      </c>
      <c r="AB14" s="290" t="e">
        <f>(Stoff!$P14*$O14+Z14)*EXP(-('1a. Spredningsmodell input'!$B$46)*V14)</f>
        <v>#VALUE!</v>
      </c>
      <c r="AC14" s="292" t="e">
        <f>((AA14+AB14)*1000000000)/('1a. Spredningsmodell input'!$B$45*1000)</f>
        <v>#VALUE!</v>
      </c>
      <c r="AD14" s="294" t="e">
        <f>0.001*AC14/('1a. Spredningsmodell input'!$C$25+'1a. Spredningsmodell input'!$C$26/Mellomregninger!$K14)</f>
        <v>#VALUE!</v>
      </c>
      <c r="AE14" s="294" t="e">
        <f>1000*AD14/$K14+AB14*1000000000/('1a. Spredningsmodell input'!$B$45*1000)</f>
        <v>#VALUE!</v>
      </c>
      <c r="AF14" s="294" t="e">
        <f t="shared" si="0"/>
        <v>#VALUE!</v>
      </c>
      <c r="AG14" s="294" t="e">
        <f>AB14*1000000000/('1a. Spredningsmodell input'!$B$45*1000)</f>
        <v>#VALUE!</v>
      </c>
      <c r="AH14" s="300" t="e">
        <f>(1/('1a. Spredningsmodell input'!$B$46))*(LN(($D14*Stoff!$P14/($D14*Stoff!$P14+$P14*Stoff!$P14))*('1a. Spredningsmodell input'!$B$43+'1a. Spredningsmodell input'!$B$46)/('1a. Spredningsmodell input'!$B$46)))</f>
        <v>#VALUE!</v>
      </c>
      <c r="AI14" s="290" t="e">
        <f>($D14-Stoff!$P14*$D14)*EXP(-($F14+Stoff!$L14*365)*AH14)</f>
        <v>#VALUE!</v>
      </c>
      <c r="AJ14" s="291" t="e">
        <f>(Stoff!$P14*$D14)*EXP(-'1a. Spredningsmodell input'!$B$43*AH14)</f>
        <v>#VALUE!</v>
      </c>
      <c r="AK14" s="290" t="e">
        <f>($D14-Stoff!$P14*$D14-AI14)*($F14/($F14+Stoff!$L14*365))</f>
        <v>#VALUE!</v>
      </c>
      <c r="AL14" s="290" t="e">
        <f>(Stoff!$P14*$D14)-AJ14</f>
        <v>#VALUE!</v>
      </c>
      <c r="AM14" s="290" t="e">
        <f>($O14+AK14)*EXP(-($N14+Stoff!$M14*365)*AH14)</f>
        <v>#VALUE!</v>
      </c>
      <c r="AN14" s="290" t="e">
        <f>(Stoff!$P14*$O14+AL14)*EXP(-('1a. Spredningsmodell input'!$B$46)*AH14)</f>
        <v>#VALUE!</v>
      </c>
      <c r="AO14" s="292" t="e">
        <f>((AM14+AN14)*1000000000)/('1a. Spredningsmodell input'!$B$45*1000)</f>
        <v>#VALUE!</v>
      </c>
      <c r="AP14" s="294" t="e">
        <f>0.001*AO14/('1a. Spredningsmodell input'!$C$25+'1a. Spredningsmodell input'!$C$26/Mellomregninger!$K14)</f>
        <v>#VALUE!</v>
      </c>
      <c r="AQ14" s="294" t="e">
        <f>1000*AP14/$K14+AN14*1000000000/('1a. Spredningsmodell input'!$B$45*1000)</f>
        <v>#VALUE!</v>
      </c>
      <c r="AR14" s="294" t="e">
        <f t="shared" si="1"/>
        <v>#VALUE!</v>
      </c>
      <c r="AS14" s="294" t="e">
        <f>AN14*1000000000/('1a. Spredningsmodell input'!$B$45*1000)</f>
        <v>#VALUE!</v>
      </c>
      <c r="AT14" s="295">
        <f t="shared" si="14"/>
        <v>5</v>
      </c>
      <c r="AU14" s="290" t="e">
        <f>($D14-Stoff!$P14*$D14)*EXP(-($F14+Stoff!$L14*365)*AT14)</f>
        <v>#VALUE!</v>
      </c>
      <c r="AV14" s="291" t="e">
        <f>(Stoff!$P14*$D14)*EXP(-'1a. Spredningsmodell input'!$B$43*AT14)</f>
        <v>#VALUE!</v>
      </c>
      <c r="AW14" s="290" t="e">
        <f>($D14-Stoff!$P14*$D14-AU14)*($F14/($F14+Stoff!$L14*365))</f>
        <v>#VALUE!</v>
      </c>
      <c r="AX14" s="290" t="e">
        <f>(Stoff!$P14*$D14)-AV14</f>
        <v>#VALUE!</v>
      </c>
      <c r="AY14" s="290" t="e">
        <f>($O14+AW14)*EXP(-($N14+Stoff!$M14*365)*AT14)</f>
        <v>#VALUE!</v>
      </c>
      <c r="AZ14" s="290" t="e">
        <f>(Stoff!$P14*$O14+AX14)*EXP(-('1a. Spredningsmodell input'!$B$46)*AT14)</f>
        <v>#VALUE!</v>
      </c>
      <c r="BA14" s="292" t="e">
        <f>((AY14+AZ14)*1000000000)/('1a. Spredningsmodell input'!$B$45*1000)</f>
        <v>#VALUE!</v>
      </c>
      <c r="BB14" s="294" t="e">
        <f>0.001*BA14/('1a. Spredningsmodell input'!$C$25+'1a. Spredningsmodell input'!$C$26/Mellomregninger!$K14)</f>
        <v>#VALUE!</v>
      </c>
      <c r="BC14" s="294" t="e">
        <f>1000*BB14/$K14+AZ14*1000000000/('1a. Spredningsmodell input'!$B$45*1000)</f>
        <v>#VALUE!</v>
      </c>
      <c r="BD14" s="294" t="e">
        <f t="shared" si="2"/>
        <v>#VALUE!</v>
      </c>
      <c r="BE14" s="294" t="e">
        <f>AZ14*1000000000/('1a. Spredningsmodell input'!$B$45*1000)</f>
        <v>#VALUE!</v>
      </c>
      <c r="BF14" s="295">
        <f t="shared" si="15"/>
        <v>20</v>
      </c>
      <c r="BG14" s="290" t="e">
        <f>($D14-Stoff!$P14*$D14)*EXP(-($F14+Stoff!$L14*365)*BF14)</f>
        <v>#VALUE!</v>
      </c>
      <c r="BH14" s="291" t="e">
        <f>(Stoff!$P14*$D14)*EXP(-'1a. Spredningsmodell input'!$B$43*BF14)</f>
        <v>#VALUE!</v>
      </c>
      <c r="BI14" s="290" t="e">
        <f>($D14-Stoff!$P14*$D14-BG14)*($F14/($F14+Stoff!$L14*365))</f>
        <v>#VALUE!</v>
      </c>
      <c r="BJ14" s="290" t="e">
        <f>(Stoff!$P14*$D14)-BH14</f>
        <v>#VALUE!</v>
      </c>
      <c r="BK14" s="290" t="e">
        <f>($O14+BI14)*EXP(-($N14+Stoff!$M14*365)*BF14)</f>
        <v>#VALUE!</v>
      </c>
      <c r="BL14" s="290" t="e">
        <f>(Stoff!$P14*$O14+BJ14)*EXP(-('1a. Spredningsmodell input'!$B$46)*BF14)</f>
        <v>#VALUE!</v>
      </c>
      <c r="BM14" s="292" t="e">
        <f>((BK14+BL14)*1000000000)/('1a. Spredningsmodell input'!$B$45*1000)</f>
        <v>#VALUE!</v>
      </c>
      <c r="BN14" s="294" t="e">
        <f>0.001*BM14/('1a. Spredningsmodell input'!$C$25+'1a. Spredningsmodell input'!$C$26/Mellomregninger!$K14)</f>
        <v>#VALUE!</v>
      </c>
      <c r="BO14" s="294" t="e">
        <f>1000*BN14/$K14+BL14*1000000000/('1a. Spredningsmodell input'!$B$45*1000)</f>
        <v>#VALUE!</v>
      </c>
      <c r="BP14" s="294" t="e">
        <f t="shared" si="3"/>
        <v>#VALUE!</v>
      </c>
      <c r="BQ14" s="294" t="e">
        <f>BL14*1000000000/('1a. Spredningsmodell input'!$B$45*1000)</f>
        <v>#VALUE!</v>
      </c>
      <c r="BR14" s="295">
        <f t="shared" si="16"/>
        <v>100</v>
      </c>
      <c r="BS14" s="290" t="e">
        <f>($D14-Stoff!$P14*$D14)*EXP(-($F14+Stoff!$L14*365)*BR14)</f>
        <v>#VALUE!</v>
      </c>
      <c r="BT14" s="291" t="e">
        <f>(Stoff!$P14*$D14)*EXP(-'1a. Spredningsmodell input'!$B$43*BR14)</f>
        <v>#VALUE!</v>
      </c>
      <c r="BU14" s="290" t="e">
        <f>($D14-Stoff!$P14*$D14-BS14)*($F14/($F14+Stoff!$L14*365))</f>
        <v>#VALUE!</v>
      </c>
      <c r="BV14" s="290" t="e">
        <f>(Stoff!$P14*$D14)-BT14</f>
        <v>#VALUE!</v>
      </c>
      <c r="BW14" s="290" t="e">
        <f>($O14+BU14)*EXP(-($N14+Stoff!$M14*365)*BR14)</f>
        <v>#VALUE!</v>
      </c>
      <c r="BX14" s="290" t="e">
        <f>(Stoff!$P14*$O14+BV14)*EXP(-('1a. Spredningsmodell input'!$B$46)*BR14)</f>
        <v>#VALUE!</v>
      </c>
      <c r="BY14" s="292" t="e">
        <f>((BW14+BX14)*1000000000)/('1a. Spredningsmodell input'!$B$45*1000)</f>
        <v>#VALUE!</v>
      </c>
      <c r="BZ14" s="294" t="e">
        <f>0.001*BY14/('1a. Spredningsmodell input'!$C$25+'1a. Spredningsmodell input'!$C$26/Mellomregninger!$K14)</f>
        <v>#VALUE!</v>
      </c>
      <c r="CA14" s="294" t="e">
        <f>1000*BZ14/$K14+BX14*1000000000/('1a. Spredningsmodell input'!$B$45*1000)</f>
        <v>#VALUE!</v>
      </c>
      <c r="CB14" s="294" t="e">
        <f t="shared" si="4"/>
        <v>#VALUE!</v>
      </c>
      <c r="CC14" s="294" t="e">
        <f>BX14*1000000000/('1a. Spredningsmodell input'!$B$45*1000)</f>
        <v>#VALUE!</v>
      </c>
      <c r="CD14" s="294" t="e">
        <f>V14+'1a. Spredningsmodell input'!$C$35</f>
        <v>#VALUE!</v>
      </c>
      <c r="CE14" s="294" t="e">
        <f>($S14+$Q14*($O14+$I14*($D14*(1-Stoff!$P14))*(1-EXP(-($F14+Stoff!$L14*365)*CD14)))*(1-EXP(-($N14+Stoff!$M14*365)*CD14)))</f>
        <v>#VALUE!</v>
      </c>
      <c r="CF14" s="294" t="e">
        <f t="shared" si="5"/>
        <v>#VALUE!</v>
      </c>
      <c r="CG14" s="296" t="e">
        <f>(CF14/1000000)*'1a. Spredningsmodell input'!$B$49*'1a. Spredningsmodell input'!$C$35</f>
        <v>#VALUE!</v>
      </c>
      <c r="CH14" s="294" t="e">
        <f t="shared" si="17"/>
        <v>#VALUE!</v>
      </c>
      <c r="CI14" s="290" t="e">
        <f>(CH14/1000000)*'1a. Spredningsmodell input'!$B$49*'1a. Spredningsmodell input'!$C$35</f>
        <v>#VALUE!</v>
      </c>
      <c r="CJ14" s="297" t="e">
        <f>($S14)*EXP(-(Stoff!$N14*365+$U14)*CD14)+CG14</f>
        <v>#VALUE!</v>
      </c>
      <c r="CK14" s="297" t="e">
        <f>(Stoff!$P14*$S14+CI14)*EXP(-$T14*CD14)</f>
        <v>#VALUE!</v>
      </c>
      <c r="CL14" s="297" t="e">
        <f>(CJ14+CK14)*1000000000/('1a. Spredningsmodell input'!$C$36*1000)</f>
        <v>#VALUE!</v>
      </c>
      <c r="CM14" s="297" t="e">
        <f>$G14*(1-EXP(-'1a. Spredningsmodell input'!$B$43*Mellomregninger!CD14))*(1-EXP(-'1a. Spredningsmodell input'!$B$46*Mellomregninger!CD14))</f>
        <v>#VALUE!</v>
      </c>
      <c r="CN14" s="297"/>
      <c r="CO14" s="297"/>
      <c r="CP14" s="290">
        <f>IF(ISNUMBER(AH14),AH14+'1a. Spredningsmodell input'!$C$35,'1a. Spredningsmodell input'!$C$35)</f>
        <v>1</v>
      </c>
      <c r="CQ14" s="294" t="e">
        <f>($S14+$Q14*($O14+$I14*($D14*(1-Stoff!$P14))*(1-EXP(-($F14+Stoff!$L14*365)*CP14)))*(1-EXP(-($N14+Stoff!$M14*365)*CP14)))</f>
        <v>#VALUE!</v>
      </c>
      <c r="CR14" s="294" t="e">
        <f t="shared" si="6"/>
        <v>#VALUE!</v>
      </c>
      <c r="CS14" s="296" t="e">
        <f>(CR14/1000000)*('1a. Spredningsmodell input'!$B$49*'1a. Spredningsmodell input'!$C$35)</f>
        <v>#VALUE!</v>
      </c>
      <c r="CT14" s="294" t="e">
        <f t="shared" si="7"/>
        <v>#VALUE!</v>
      </c>
      <c r="CU14" s="290" t="e">
        <f>(CT14/1000000)*('1a. Spredningsmodell input'!$B$49)*'1a. Spredningsmodell input'!$C$35</f>
        <v>#VALUE!</v>
      </c>
      <c r="CV14" s="297" t="e">
        <f>($S14)*EXP(-(Stoff!$N14*365+$U14)*CP14)+CS14</f>
        <v>#VALUE!</v>
      </c>
      <c r="CW14" s="297" t="e">
        <f>(Stoff!$P14*$S14+CU14)*EXP(-$T14*CP14)</f>
        <v>#VALUE!</v>
      </c>
      <c r="CX14" s="297">
        <f>IF(ISERROR(CV14),0,(CV14+CW14)*1000000000/('1a. Spredningsmodell input'!$C$36*1000))</f>
        <v>0</v>
      </c>
      <c r="CY14" s="297" t="e">
        <f>$G14*(1-EXP(-'1a. Spredningsmodell input'!$B$43*Mellomregninger!CP14))*(1-EXP(-'1a. Spredningsmodell input'!$B$46*Mellomregninger!CP14))</f>
        <v>#VALUE!</v>
      </c>
      <c r="CZ14" s="297"/>
      <c r="DA14" s="297"/>
      <c r="DB14" s="262">
        <f t="shared" si="18"/>
        <v>5</v>
      </c>
      <c r="DC14" s="298" t="e">
        <f>($S14+$Q14*($O14+$I14*($D14*(1-Stoff!$P14))*(1-EXP(-($F14+Stoff!$L14*365)*DB14)))*(1-EXP(-($N14+Stoff!$M14*365)*DB14)))</f>
        <v>#VALUE!</v>
      </c>
      <c r="DD14" s="294" t="e">
        <f t="shared" si="8"/>
        <v>#VALUE!</v>
      </c>
      <c r="DE14" s="296" t="e">
        <f>(DD14/1000000)*('1a. Spredningsmodell input'!$B$49)*'1a. Spredningsmodell input'!$C$35</f>
        <v>#VALUE!</v>
      </c>
      <c r="DF14" s="294" t="e">
        <f t="shared" si="19"/>
        <v>#VALUE!</v>
      </c>
      <c r="DG14" s="290" t="e">
        <f>(DF14/1000000)*('1a. Spredningsmodell input'!$B$49)*'1a. Spredningsmodell input'!$C$35</f>
        <v>#VALUE!</v>
      </c>
      <c r="DH14" s="297" t="e">
        <f>($S14)*EXP(-(Stoff!$N14*365+$U14)*DB14)+DE14</f>
        <v>#VALUE!</v>
      </c>
      <c r="DI14" s="297" t="e">
        <f>(Stoff!$P14*$S14+DG14)*EXP(-$T14*DB14)</f>
        <v>#VALUE!</v>
      </c>
      <c r="DJ14" s="297" t="e">
        <f>(DH14+DI14)*1000000000/('1a. Spredningsmodell input'!$C$36*1000)</f>
        <v>#VALUE!</v>
      </c>
      <c r="DK14" s="297" t="e">
        <f>$G14*(1-EXP(-'1a. Spredningsmodell input'!$B$43*Mellomregninger!DB14))*(1-EXP(-'1a. Spredningsmodell input'!$B$46*Mellomregninger!DB14))</f>
        <v>#VALUE!</v>
      </c>
      <c r="DL14" s="297"/>
      <c r="DM14" s="297"/>
      <c r="DN14" s="262">
        <f t="shared" si="20"/>
        <v>20</v>
      </c>
      <c r="DO14" s="298" t="e">
        <f>($S14+$Q14*($O14+$I14*($D14*(1-Stoff!$P14))*(1-EXP(-($F14+Stoff!$L14*365)*DN14)))*(1-EXP(-($N14+Stoff!$M14*365)*DN14)))</f>
        <v>#VALUE!</v>
      </c>
      <c r="DP14" s="294" t="e">
        <f t="shared" si="21"/>
        <v>#VALUE!</v>
      </c>
      <c r="DQ14" s="296" t="e">
        <f>(DP14/1000000)*('1a. Spredningsmodell input'!$B$49)*'1a. Spredningsmodell input'!$C$35</f>
        <v>#VALUE!</v>
      </c>
      <c r="DR14" s="294" t="e">
        <f t="shared" si="9"/>
        <v>#VALUE!</v>
      </c>
      <c r="DS14" s="290" t="e">
        <f>(DR14/1000000)*('1a. Spredningsmodell input'!$B$49)*'1a. Spredningsmodell input'!$C$35</f>
        <v>#VALUE!</v>
      </c>
      <c r="DT14" s="297" t="e">
        <f>($S14)*EXP(-(Stoff!$N14*365+$U14)*DN14)+DQ14</f>
        <v>#VALUE!</v>
      </c>
      <c r="DU14" s="297" t="e">
        <f>(Stoff!$P14*$S14+DS14)*EXP(-$T14*DN14)</f>
        <v>#VALUE!</v>
      </c>
      <c r="DV14" s="297" t="e">
        <f>(DT14+DU14)*1000000000/('1a. Spredningsmodell input'!$C$36*1000)</f>
        <v>#VALUE!</v>
      </c>
      <c r="DW14" s="297" t="e">
        <f>$G14*(1-EXP(-'1a. Spredningsmodell input'!$B$43*Mellomregninger!DN14))*(1-EXP(-'1a. Spredningsmodell input'!$B$46*Mellomregninger!DN14))</f>
        <v>#VALUE!</v>
      </c>
      <c r="DX14" s="297"/>
      <c r="DY14" s="297"/>
      <c r="DZ14" s="262">
        <f t="shared" si="22"/>
        <v>100</v>
      </c>
      <c r="EA14" s="298" t="e">
        <f>($S14+$Q14*($O14+$I14*($D14*(1-Stoff!$P14))*(1-EXP(-($F14+Stoff!$L14*365)*DZ14)))*(1-EXP(-($N14+Stoff!$M14*365)*DZ14)))</f>
        <v>#VALUE!</v>
      </c>
      <c r="EB14" s="294" t="e">
        <f t="shared" si="10"/>
        <v>#VALUE!</v>
      </c>
      <c r="EC14" s="296" t="e">
        <f>(EB14/1000000)*('1a. Spredningsmodell input'!$B$49)*'1a. Spredningsmodell input'!$C$35</f>
        <v>#VALUE!</v>
      </c>
      <c r="ED14" s="294" t="e">
        <f t="shared" si="11"/>
        <v>#VALUE!</v>
      </c>
      <c r="EE14" s="290" t="e">
        <f>(ED14/1000000)*('1a. Spredningsmodell input'!$B$49)*'1a. Spredningsmodell input'!$C$35</f>
        <v>#VALUE!</v>
      </c>
      <c r="EF14" s="297" t="e">
        <f>($S14)*EXP(-(Stoff!$N14*365+$U14)*DZ14)+EC14</f>
        <v>#VALUE!</v>
      </c>
      <c r="EG14" s="297" t="e">
        <f>(Stoff!$P14*$S14+EE14)*EXP(-$T14*DZ14)</f>
        <v>#VALUE!</v>
      </c>
      <c r="EH14" s="297" t="e">
        <f>(EF14+EG14)*1000000000/('1a. Spredningsmodell input'!$C$36*1000)</f>
        <v>#VALUE!</v>
      </c>
      <c r="EI14" s="297" t="e">
        <f>$G14*(1-EXP(-'1a. Spredningsmodell input'!$B$43*Mellomregninger!DZ14))*(1-EXP(-'1a. Spredningsmodell input'!$B$46*Mellomregninger!DZ14))</f>
        <v>#VALUE!</v>
      </c>
      <c r="EJ14" s="297"/>
      <c r="EK14" s="297"/>
      <c r="EL14" s="262">
        <f t="shared" si="23"/>
        <v>1.0000000000000001E+25</v>
      </c>
      <c r="EM14" s="294" t="e">
        <f>($S14+$Q14*($O14+$I14*($D14*(1-Stoff!$P14))*(1-EXP(-($F14+Stoff!$L14*365)*EL14)))*(1-EXP(-($N14+Stoff!$M14*365)*EL14)))</f>
        <v>#VALUE!</v>
      </c>
      <c r="EN14" s="296" t="e">
        <f>($S14+$Q14*($O14+$I14*($D14*(1-Stoff!$P14))*(1-EXP(-($F14+Stoff!$L14*365)*(EL14-'1a. Spredningsmodell input'!$C$35))))*(1-EXP(-($N14+Stoff!$M14*365)*(EL14-'1a. Spredningsmodell input'!$C$35))))</f>
        <v>#VALUE!</v>
      </c>
      <c r="EO14" s="294" t="e">
        <f>IF(EL14&lt;'1a. Spredningsmodell input'!$C$35,EM14-($S14)*EXP(-(Stoff!$N14*365+$U14)*EL14),EM14-EN14)</f>
        <v>#VALUE!</v>
      </c>
      <c r="EP14" s="290" t="e">
        <f>((($D14*(Stoff!$P14))*(1-EXP(-'1a. Spredningsmodell input'!$B$43*EL14)))*(1-EXP(-'1a. Spredningsmodell input'!$B$46*EL14)))</f>
        <v>#VALUE!</v>
      </c>
      <c r="EQ14" s="294" t="e">
        <f>((($D14*(Stoff!$P14))*(1-EXP(-'1a. Spredningsmodell input'!$B$43*(EL14-'1a. Spredningsmodell input'!$C$35))))*(1-EXP(-'1a. Spredningsmodell input'!$B$46*(EL14-'1a. Spredningsmodell input'!$C$35))))</f>
        <v>#VALUE!</v>
      </c>
      <c r="ER14" s="290" t="e">
        <f>IF(EL14&lt;'1a. Spredningsmodell input'!$C$35,0,EP14-EQ14)</f>
        <v>#VALUE!</v>
      </c>
      <c r="ES14" s="297" t="e">
        <f>($S14)*EXP(-(Stoff!$N14*365+$U14)*EL14)+EO14</f>
        <v>#VALUE!</v>
      </c>
      <c r="ET14" s="297" t="e">
        <f>(Stoff!$P14*$S14+ER14)*EXP(-$T14*EL14)</f>
        <v>#VALUE!</v>
      </c>
      <c r="EU14" s="297" t="e">
        <f>(ES14+ET14)*1000000000/('1a. Spredningsmodell input'!$C$36*1000)</f>
        <v>#VALUE!</v>
      </c>
      <c r="EV14" s="262" t="e">
        <f t="shared" si="12"/>
        <v>#VALUE!</v>
      </c>
      <c r="EW14" s="299" t="e">
        <f t="shared" si="13"/>
        <v>#VALUE!</v>
      </c>
      <c r="EX14" s="262" t="e">
        <f t="shared" si="24"/>
        <v>#VALUE!</v>
      </c>
    </row>
    <row r="15" spans="1:154" x14ac:dyDescent="0.35">
      <c r="A15" s="50" t="s">
        <v>195</v>
      </c>
      <c r="B15" s="34" t="str">
        <f>IF(ISNUMBER('1c. Kons. porevann'!E15),1000*'1c. Kons. porevann'!E15,IF(ISNUMBER('1b. Kons. umettet jord'!E15),1000*'1b. Kons. umettet jord'!E15/C15,""))</f>
        <v/>
      </c>
      <c r="C15" s="244">
        <f>IF(Stoff!B15="uorganisk",Stoff!C15,Stoff!D15*'1a. Spredningsmodell input'!$C$11)</f>
        <v>3211.19</v>
      </c>
      <c r="D15" s="34" t="str">
        <f>IF(ISNUMBER(B15),0.000001*('1b. Kons. umettet jord'!G15*'1a. Spredningsmodell input'!$C$12+B15*0.001*'1a. Spredningsmodell input'!$C$14)*1000*'1a. Spredningsmodell input'!$B$41*'1a. Spredningsmodell input'!$C$18,"")</f>
        <v/>
      </c>
      <c r="E15" s="283">
        <f>C15*'1a. Spredningsmodell input'!$C$12/'1a. Spredningsmodell input'!$C$14+1</f>
        <v>27296.114999999998</v>
      </c>
      <c r="F15" s="284">
        <f>'1a. Spredningsmodell input'!$B$43/E15</f>
        <v>5.4952875161904905E-5</v>
      </c>
      <c r="G15" s="34" t="e">
        <f>Stoff!P15*Mellomregninger!D15</f>
        <v>#VALUE!</v>
      </c>
      <c r="H15" s="283" t="e">
        <f>(D15-G15)*(F15/(F15+Stoff!L15))</f>
        <v>#VALUE!</v>
      </c>
      <c r="I15" s="283">
        <f>F15/(F15+Stoff!L15)</f>
        <v>1</v>
      </c>
      <c r="J15" s="285" t="str">
        <f>IF(B15="","",IF(ISNUMBER('1d. Kons. mettet sone'!E15),'1d. Kons. mettet sone'!E15,IF(ISNUMBER('1e. Kons. grunnvann'!E15),'1e. Kons. grunnvann'!E15*Mellomregninger!K15,0)))</f>
        <v/>
      </c>
      <c r="K15" s="286">
        <f>IF(Stoff!B15="uorganisk",Stoff!C15,Stoff!D15*'1a. Spredningsmodell input'!$C$24)</f>
        <v>321.11900000000003</v>
      </c>
      <c r="L15" s="27" t="e">
        <f>IF(ISNUMBER('1e. Kons. grunnvann'!E15),1000*'1e. Kons. grunnvann'!E15,1000*J15/K15)</f>
        <v>#VALUE!</v>
      </c>
      <c r="M15" s="34">
        <f>K15*'1a. Spredningsmodell input'!$C$25/'1a. Spredningsmodell input'!$C$26+1</f>
        <v>1365.75575</v>
      </c>
      <c r="N15" s="284">
        <f>'1a. Spredningsmodell input'!$C$26/M15</f>
        <v>2.9287813725111536E-4</v>
      </c>
      <c r="O15" s="287" t="e">
        <f>0.000000001*(J15*'1a. Spredningsmodell input'!$C$25+L15)*1000*'1a. Spredningsmodell input'!$B$45</f>
        <v>#VALUE!</v>
      </c>
      <c r="P15" s="287" t="e">
        <f>O15*Stoff!P15</f>
        <v>#VALUE!</v>
      </c>
      <c r="Q15" s="287">
        <f>N15/(N15+Stoff!M15)</f>
        <v>1</v>
      </c>
      <c r="R15" s="288">
        <f>IF(ISNUMBER('1f. Kons. resipient'!E15),'1f. Kons. resipient'!E15,0)</f>
        <v>0</v>
      </c>
      <c r="S15" s="288">
        <f>0.000000001*'1a. Spredningsmodell input'!$C$36*R15*1000</f>
        <v>0</v>
      </c>
      <c r="T15" s="288">
        <f>1/'1a. Spredningsmodell input'!$C$35</f>
        <v>1</v>
      </c>
      <c r="U15" s="288">
        <f>1/'1a. Spredningsmodell input'!$C$35</f>
        <v>1</v>
      </c>
      <c r="V15" s="300" t="e">
        <f>(1/($N15+Stoff!$L15))*(LN(($D15*$I15/($D15*$I15+$J15))*($F15+Stoff!$L15+$N15+Stoff!$M15)/($N15+Stoff!$M15)))</f>
        <v>#VALUE!</v>
      </c>
      <c r="W15" s="290" t="e">
        <f>($D15-Stoff!$P15*$D15)*EXP(-($F15+Stoff!$L15*365)*V15)</f>
        <v>#VALUE!</v>
      </c>
      <c r="X15" s="291" t="e">
        <f>(Stoff!$P15*$D15)*EXP(-'1a. Spredningsmodell input'!$B$43*V15)</f>
        <v>#VALUE!</v>
      </c>
      <c r="Y15" s="290" t="e">
        <f>($D15-Stoff!$P15*$D15-W15)*($F15/($F15+Stoff!$L15*365))</f>
        <v>#VALUE!</v>
      </c>
      <c r="Z15" s="290" t="e">
        <f>(Stoff!$P15*$D15)-X15</f>
        <v>#VALUE!</v>
      </c>
      <c r="AA15" s="290" t="e">
        <f>($O15+Y15)*EXP(-($N15+Stoff!$M15*365)*V15)</f>
        <v>#VALUE!</v>
      </c>
      <c r="AB15" s="290" t="e">
        <f>(Stoff!$P15*$O15+Z15)*EXP(-('1a. Spredningsmodell input'!$B$46)*V15)</f>
        <v>#VALUE!</v>
      </c>
      <c r="AC15" s="292" t="e">
        <f>((AA15+AB15)*1000000000)/('1a. Spredningsmodell input'!$B$45*1000)</f>
        <v>#VALUE!</v>
      </c>
      <c r="AD15" s="294" t="e">
        <f>0.001*AC15/('1a. Spredningsmodell input'!$C$25+'1a. Spredningsmodell input'!$C$26/Mellomregninger!$K15)</f>
        <v>#VALUE!</v>
      </c>
      <c r="AE15" s="294" t="e">
        <f>1000*AD15/$K15+AB15*1000000000/('1a. Spredningsmodell input'!$B$45*1000)</f>
        <v>#VALUE!</v>
      </c>
      <c r="AF15" s="294" t="e">
        <f t="shared" si="0"/>
        <v>#VALUE!</v>
      </c>
      <c r="AG15" s="294" t="e">
        <f>AB15*1000000000/('1a. Spredningsmodell input'!$B$45*1000)</f>
        <v>#VALUE!</v>
      </c>
      <c r="AH15" s="300" t="e">
        <f>(1/('1a. Spredningsmodell input'!$B$46))*(LN(($D15*Stoff!$P15/($D15*Stoff!$P15+$P15*Stoff!$P15))*('1a. Spredningsmodell input'!$B$43+'1a. Spredningsmodell input'!$B$46)/('1a. Spredningsmodell input'!$B$46)))</f>
        <v>#VALUE!</v>
      </c>
      <c r="AI15" s="290" t="e">
        <f>($D15-Stoff!$P15*$D15)*EXP(-($F15+Stoff!$L15*365)*AH15)</f>
        <v>#VALUE!</v>
      </c>
      <c r="AJ15" s="291" t="e">
        <f>(Stoff!$P15*$D15)*EXP(-'1a. Spredningsmodell input'!$B$43*AH15)</f>
        <v>#VALUE!</v>
      </c>
      <c r="AK15" s="290" t="e">
        <f>($D15-Stoff!$P15*$D15-AI15)*($F15/($F15+Stoff!$L15*365))</f>
        <v>#VALUE!</v>
      </c>
      <c r="AL15" s="290" t="e">
        <f>(Stoff!$P15*$D15)-AJ15</f>
        <v>#VALUE!</v>
      </c>
      <c r="AM15" s="290" t="e">
        <f>($O15+AK15)*EXP(-($N15+Stoff!$M15*365)*AH15)</f>
        <v>#VALUE!</v>
      </c>
      <c r="AN15" s="290" t="e">
        <f>(Stoff!$P15*$O15+AL15)*EXP(-('1a. Spredningsmodell input'!$B$46)*AH15)</f>
        <v>#VALUE!</v>
      </c>
      <c r="AO15" s="292" t="e">
        <f>((AM15+AN15)*1000000000)/('1a. Spredningsmodell input'!$B$45*1000)</f>
        <v>#VALUE!</v>
      </c>
      <c r="AP15" s="294" t="e">
        <f>0.001*AO15/('1a. Spredningsmodell input'!$C$25+'1a. Spredningsmodell input'!$C$26/Mellomregninger!$K15)</f>
        <v>#VALUE!</v>
      </c>
      <c r="AQ15" s="294" t="e">
        <f>1000*AP15/$K15+AN15*1000000000/('1a. Spredningsmodell input'!$B$45*1000)</f>
        <v>#VALUE!</v>
      </c>
      <c r="AR15" s="294" t="e">
        <f t="shared" si="1"/>
        <v>#VALUE!</v>
      </c>
      <c r="AS15" s="294" t="e">
        <f>AN15*1000000000/('1a. Spredningsmodell input'!$B$45*1000)</f>
        <v>#VALUE!</v>
      </c>
      <c r="AT15" s="295">
        <f t="shared" si="14"/>
        <v>5</v>
      </c>
      <c r="AU15" s="290" t="e">
        <f>($D15-Stoff!$P15*$D15)*EXP(-($F15+Stoff!$L15*365)*AT15)</f>
        <v>#VALUE!</v>
      </c>
      <c r="AV15" s="291" t="e">
        <f>(Stoff!$P15*$D15)*EXP(-'1a. Spredningsmodell input'!$B$43*AT15)</f>
        <v>#VALUE!</v>
      </c>
      <c r="AW15" s="290" t="e">
        <f>($D15-Stoff!$P15*$D15-AU15)*($F15/($F15+Stoff!$L15*365))</f>
        <v>#VALUE!</v>
      </c>
      <c r="AX15" s="290" t="e">
        <f>(Stoff!$P15*$D15)-AV15</f>
        <v>#VALUE!</v>
      </c>
      <c r="AY15" s="290" t="e">
        <f>($O15+AW15)*EXP(-($N15+Stoff!$M15*365)*AT15)</f>
        <v>#VALUE!</v>
      </c>
      <c r="AZ15" s="290" t="e">
        <f>(Stoff!$P15*$O15+AX15)*EXP(-('1a. Spredningsmodell input'!$B$46)*AT15)</f>
        <v>#VALUE!</v>
      </c>
      <c r="BA15" s="292" t="e">
        <f>((AY15+AZ15)*1000000000)/('1a. Spredningsmodell input'!$B$45*1000)</f>
        <v>#VALUE!</v>
      </c>
      <c r="BB15" s="294" t="e">
        <f>0.001*BA15/('1a. Spredningsmodell input'!$C$25+'1a. Spredningsmodell input'!$C$26/Mellomregninger!$K15)</f>
        <v>#VALUE!</v>
      </c>
      <c r="BC15" s="294" t="e">
        <f>1000*BB15/$K15+AZ15*1000000000/('1a. Spredningsmodell input'!$B$45*1000)</f>
        <v>#VALUE!</v>
      </c>
      <c r="BD15" s="294" t="e">
        <f t="shared" si="2"/>
        <v>#VALUE!</v>
      </c>
      <c r="BE15" s="294" t="e">
        <f>AZ15*1000000000/('1a. Spredningsmodell input'!$B$45*1000)</f>
        <v>#VALUE!</v>
      </c>
      <c r="BF15" s="295">
        <f t="shared" si="15"/>
        <v>20</v>
      </c>
      <c r="BG15" s="290" t="e">
        <f>($D15-Stoff!$P15*$D15)*EXP(-($F15+Stoff!$L15*365)*BF15)</f>
        <v>#VALUE!</v>
      </c>
      <c r="BH15" s="291" t="e">
        <f>(Stoff!$P15*$D15)*EXP(-'1a. Spredningsmodell input'!$B$43*BF15)</f>
        <v>#VALUE!</v>
      </c>
      <c r="BI15" s="290" t="e">
        <f>($D15-Stoff!$P15*$D15-BG15)*($F15/($F15+Stoff!$L15*365))</f>
        <v>#VALUE!</v>
      </c>
      <c r="BJ15" s="290" t="e">
        <f>(Stoff!$P15*$D15)-BH15</f>
        <v>#VALUE!</v>
      </c>
      <c r="BK15" s="290" t="e">
        <f>($O15+BI15)*EXP(-($N15+Stoff!$M15*365)*BF15)</f>
        <v>#VALUE!</v>
      </c>
      <c r="BL15" s="290" t="e">
        <f>(Stoff!$P15*$O15+BJ15)*EXP(-('1a. Spredningsmodell input'!$B$46)*BF15)</f>
        <v>#VALUE!</v>
      </c>
      <c r="BM15" s="292" t="e">
        <f>((BK15+BL15)*1000000000)/('1a. Spredningsmodell input'!$B$45*1000)</f>
        <v>#VALUE!</v>
      </c>
      <c r="BN15" s="294" t="e">
        <f>0.001*BM15/('1a. Spredningsmodell input'!$C$25+'1a. Spredningsmodell input'!$C$26/Mellomregninger!$K15)</f>
        <v>#VALUE!</v>
      </c>
      <c r="BO15" s="294" t="e">
        <f>1000*BN15/$K15+BL15*1000000000/('1a. Spredningsmodell input'!$B$45*1000)</f>
        <v>#VALUE!</v>
      </c>
      <c r="BP15" s="294" t="e">
        <f t="shared" si="3"/>
        <v>#VALUE!</v>
      </c>
      <c r="BQ15" s="294" t="e">
        <f>BL15*1000000000/('1a. Spredningsmodell input'!$B$45*1000)</f>
        <v>#VALUE!</v>
      </c>
      <c r="BR15" s="295">
        <f t="shared" si="16"/>
        <v>100</v>
      </c>
      <c r="BS15" s="290" t="e">
        <f>($D15-Stoff!$P15*$D15)*EXP(-($F15+Stoff!$L15*365)*BR15)</f>
        <v>#VALUE!</v>
      </c>
      <c r="BT15" s="291" t="e">
        <f>(Stoff!$P15*$D15)*EXP(-'1a. Spredningsmodell input'!$B$43*BR15)</f>
        <v>#VALUE!</v>
      </c>
      <c r="BU15" s="290" t="e">
        <f>($D15-Stoff!$P15*$D15-BS15)*($F15/($F15+Stoff!$L15*365))</f>
        <v>#VALUE!</v>
      </c>
      <c r="BV15" s="290" t="e">
        <f>(Stoff!$P15*$D15)-BT15</f>
        <v>#VALUE!</v>
      </c>
      <c r="BW15" s="290" t="e">
        <f>($O15+BU15)*EXP(-($N15+Stoff!$M15*365)*BR15)</f>
        <v>#VALUE!</v>
      </c>
      <c r="BX15" s="290" t="e">
        <f>(Stoff!$P15*$O15+BV15)*EXP(-('1a. Spredningsmodell input'!$B$46)*BR15)</f>
        <v>#VALUE!</v>
      </c>
      <c r="BY15" s="292" t="e">
        <f>((BW15+BX15)*1000000000)/('1a. Spredningsmodell input'!$B$45*1000)</f>
        <v>#VALUE!</v>
      </c>
      <c r="BZ15" s="294" t="e">
        <f>0.001*BY15/('1a. Spredningsmodell input'!$C$25+'1a. Spredningsmodell input'!$C$26/Mellomregninger!$K15)</f>
        <v>#VALUE!</v>
      </c>
      <c r="CA15" s="294" t="e">
        <f>1000*BZ15/$K15+BX15*1000000000/('1a. Spredningsmodell input'!$B$45*1000)</f>
        <v>#VALUE!</v>
      </c>
      <c r="CB15" s="294" t="e">
        <f t="shared" si="4"/>
        <v>#VALUE!</v>
      </c>
      <c r="CC15" s="294" t="e">
        <f>BX15*1000000000/('1a. Spredningsmodell input'!$B$45*1000)</f>
        <v>#VALUE!</v>
      </c>
      <c r="CD15" s="294" t="e">
        <f>V15+'1a. Spredningsmodell input'!$C$35</f>
        <v>#VALUE!</v>
      </c>
      <c r="CE15" s="294" t="e">
        <f>($S15+$Q15*($O15+$I15*($D15*(1-Stoff!$P15))*(1-EXP(-($F15+Stoff!$L15*365)*CD15)))*(1-EXP(-($N15+Stoff!$M15*365)*CD15)))</f>
        <v>#VALUE!</v>
      </c>
      <c r="CF15" s="294" t="e">
        <f t="shared" si="5"/>
        <v>#VALUE!</v>
      </c>
      <c r="CG15" s="296" t="e">
        <f>(CF15/1000000)*'1a. Spredningsmodell input'!$B$49*'1a. Spredningsmodell input'!$C$35</f>
        <v>#VALUE!</v>
      </c>
      <c r="CH15" s="294" t="e">
        <f t="shared" si="17"/>
        <v>#VALUE!</v>
      </c>
      <c r="CI15" s="290" t="e">
        <f>(CH15/1000000)*'1a. Spredningsmodell input'!$B$49*'1a. Spredningsmodell input'!$C$35</f>
        <v>#VALUE!</v>
      </c>
      <c r="CJ15" s="297" t="e">
        <f>($S15)*EXP(-(Stoff!$N15*365+$U15)*CD15)+CG15</f>
        <v>#VALUE!</v>
      </c>
      <c r="CK15" s="297" t="e">
        <f>(Stoff!$P15*$S15+CI15)*EXP(-$T15*CD15)</f>
        <v>#VALUE!</v>
      </c>
      <c r="CL15" s="297" t="e">
        <f>(CJ15+CK15)*1000000000/('1a. Spredningsmodell input'!$C$36*1000)</f>
        <v>#VALUE!</v>
      </c>
      <c r="CM15" s="297" t="e">
        <f>$G15*(1-EXP(-'1a. Spredningsmodell input'!$B$43*Mellomregninger!CD15))*(1-EXP(-'1a. Spredningsmodell input'!$B$46*Mellomregninger!CD15))</f>
        <v>#VALUE!</v>
      </c>
      <c r="CN15" s="297"/>
      <c r="CO15" s="297"/>
      <c r="CP15" s="290">
        <f>IF(ISNUMBER(AH15),AH15+'1a. Spredningsmodell input'!$C$35,'1a. Spredningsmodell input'!$C$35)</f>
        <v>1</v>
      </c>
      <c r="CQ15" s="294" t="e">
        <f>($S15+$Q15*($O15+$I15*($D15*(1-Stoff!$P15))*(1-EXP(-($F15+Stoff!$L15*365)*CP15)))*(1-EXP(-($N15+Stoff!$M15*365)*CP15)))</f>
        <v>#VALUE!</v>
      </c>
      <c r="CR15" s="294" t="e">
        <f t="shared" si="6"/>
        <v>#VALUE!</v>
      </c>
      <c r="CS15" s="296" t="e">
        <f>(CR15/1000000)*('1a. Spredningsmodell input'!$B$49*'1a. Spredningsmodell input'!$C$35)</f>
        <v>#VALUE!</v>
      </c>
      <c r="CT15" s="294" t="e">
        <f t="shared" si="7"/>
        <v>#VALUE!</v>
      </c>
      <c r="CU15" s="290" t="e">
        <f>(CT15/1000000)*('1a. Spredningsmodell input'!$B$49)*'1a. Spredningsmodell input'!$C$35</f>
        <v>#VALUE!</v>
      </c>
      <c r="CV15" s="297" t="e">
        <f>($S15)*EXP(-(Stoff!$N15*365+$U15)*CP15)+CS15</f>
        <v>#VALUE!</v>
      </c>
      <c r="CW15" s="297" t="e">
        <f>(Stoff!$P15*$S15+CU15)*EXP(-$T15*CP15)</f>
        <v>#VALUE!</v>
      </c>
      <c r="CX15" s="297">
        <f>IF(ISERROR(CV15),0,(CV15+CW15)*1000000000/('1a. Spredningsmodell input'!$C$36*1000))</f>
        <v>0</v>
      </c>
      <c r="CY15" s="297" t="e">
        <f>$G15*(1-EXP(-'1a. Spredningsmodell input'!$B$43*Mellomregninger!CP15))*(1-EXP(-'1a. Spredningsmodell input'!$B$46*Mellomregninger!CP15))</f>
        <v>#VALUE!</v>
      </c>
      <c r="CZ15" s="297"/>
      <c r="DA15" s="297"/>
      <c r="DB15" s="262">
        <f t="shared" si="18"/>
        <v>5</v>
      </c>
      <c r="DC15" s="298" t="e">
        <f>($S15+$Q15*($O15+$I15*($D15*(1-Stoff!$P15))*(1-EXP(-($F15+Stoff!$L15*365)*DB15)))*(1-EXP(-($N15+Stoff!$M15*365)*DB15)))</f>
        <v>#VALUE!</v>
      </c>
      <c r="DD15" s="294" t="e">
        <f t="shared" si="8"/>
        <v>#VALUE!</v>
      </c>
      <c r="DE15" s="296" t="e">
        <f>(DD15/1000000)*('1a. Spredningsmodell input'!$B$49)*'1a. Spredningsmodell input'!$C$35</f>
        <v>#VALUE!</v>
      </c>
      <c r="DF15" s="294" t="e">
        <f t="shared" si="19"/>
        <v>#VALUE!</v>
      </c>
      <c r="DG15" s="290" t="e">
        <f>(DF15/1000000)*('1a. Spredningsmodell input'!$B$49)*'1a. Spredningsmodell input'!$C$35</f>
        <v>#VALUE!</v>
      </c>
      <c r="DH15" s="297" t="e">
        <f>($S15)*EXP(-(Stoff!$N15*365+$U15)*DB15)+DE15</f>
        <v>#VALUE!</v>
      </c>
      <c r="DI15" s="297" t="e">
        <f>(Stoff!$P15*$S15+DG15)*EXP(-$T15*DB15)</f>
        <v>#VALUE!</v>
      </c>
      <c r="DJ15" s="297" t="e">
        <f>(DH15+DI15)*1000000000/('1a. Spredningsmodell input'!$C$36*1000)</f>
        <v>#VALUE!</v>
      </c>
      <c r="DK15" s="297" t="e">
        <f>$G15*(1-EXP(-'1a. Spredningsmodell input'!$B$43*Mellomregninger!DB15))*(1-EXP(-'1a. Spredningsmodell input'!$B$46*Mellomregninger!DB15))</f>
        <v>#VALUE!</v>
      </c>
      <c r="DL15" s="297"/>
      <c r="DM15" s="297"/>
      <c r="DN15" s="262">
        <f t="shared" si="20"/>
        <v>20</v>
      </c>
      <c r="DO15" s="298" t="e">
        <f>($S15+$Q15*($O15+$I15*($D15*(1-Stoff!$P15))*(1-EXP(-($F15+Stoff!$L15*365)*DN15)))*(1-EXP(-($N15+Stoff!$M15*365)*DN15)))</f>
        <v>#VALUE!</v>
      </c>
      <c r="DP15" s="294" t="e">
        <f t="shared" si="21"/>
        <v>#VALUE!</v>
      </c>
      <c r="DQ15" s="296" t="e">
        <f>(DP15/1000000)*('1a. Spredningsmodell input'!$B$49)*'1a. Spredningsmodell input'!$C$35</f>
        <v>#VALUE!</v>
      </c>
      <c r="DR15" s="294" t="e">
        <f t="shared" si="9"/>
        <v>#VALUE!</v>
      </c>
      <c r="DS15" s="290" t="e">
        <f>(DR15/1000000)*('1a. Spredningsmodell input'!$B$49)*'1a. Spredningsmodell input'!$C$35</f>
        <v>#VALUE!</v>
      </c>
      <c r="DT15" s="297" t="e">
        <f>($S15)*EXP(-(Stoff!$N15*365+$U15)*DN15)+DQ15</f>
        <v>#VALUE!</v>
      </c>
      <c r="DU15" s="297" t="e">
        <f>(Stoff!$P15*$S15+DS15)*EXP(-$T15*DN15)</f>
        <v>#VALUE!</v>
      </c>
      <c r="DV15" s="297" t="e">
        <f>(DT15+DU15)*1000000000/('1a. Spredningsmodell input'!$C$36*1000)</f>
        <v>#VALUE!</v>
      </c>
      <c r="DW15" s="297" t="e">
        <f>$G15*(1-EXP(-'1a. Spredningsmodell input'!$B$43*Mellomregninger!DN15))*(1-EXP(-'1a. Spredningsmodell input'!$B$46*Mellomregninger!DN15))</f>
        <v>#VALUE!</v>
      </c>
      <c r="DX15" s="297"/>
      <c r="DY15" s="297"/>
      <c r="DZ15" s="262">
        <f t="shared" si="22"/>
        <v>100</v>
      </c>
      <c r="EA15" s="298" t="e">
        <f>($S15+$Q15*($O15+$I15*($D15*(1-Stoff!$P15))*(1-EXP(-($F15+Stoff!$L15*365)*DZ15)))*(1-EXP(-($N15+Stoff!$M15*365)*DZ15)))</f>
        <v>#VALUE!</v>
      </c>
      <c r="EB15" s="294" t="e">
        <f t="shared" si="10"/>
        <v>#VALUE!</v>
      </c>
      <c r="EC15" s="296" t="e">
        <f>(EB15/1000000)*('1a. Spredningsmodell input'!$B$49)*'1a. Spredningsmodell input'!$C$35</f>
        <v>#VALUE!</v>
      </c>
      <c r="ED15" s="294" t="e">
        <f t="shared" si="11"/>
        <v>#VALUE!</v>
      </c>
      <c r="EE15" s="290" t="e">
        <f>(ED15/1000000)*('1a. Spredningsmodell input'!$B$49)*'1a. Spredningsmodell input'!$C$35</f>
        <v>#VALUE!</v>
      </c>
      <c r="EF15" s="297" t="e">
        <f>($S15)*EXP(-(Stoff!$N15*365+$U15)*DZ15)+EC15</f>
        <v>#VALUE!</v>
      </c>
      <c r="EG15" s="297" t="e">
        <f>(Stoff!$P15*$S15+EE15)*EXP(-$T15*DZ15)</f>
        <v>#VALUE!</v>
      </c>
      <c r="EH15" s="297" t="e">
        <f>(EF15+EG15)*1000000000/('1a. Spredningsmodell input'!$C$36*1000)</f>
        <v>#VALUE!</v>
      </c>
      <c r="EI15" s="297" t="e">
        <f>$G15*(1-EXP(-'1a. Spredningsmodell input'!$B$43*Mellomregninger!DZ15))*(1-EXP(-'1a. Spredningsmodell input'!$B$46*Mellomregninger!DZ15))</f>
        <v>#VALUE!</v>
      </c>
      <c r="EJ15" s="297"/>
      <c r="EK15" s="297"/>
      <c r="EL15" s="262">
        <f t="shared" si="23"/>
        <v>1.0000000000000001E+25</v>
      </c>
      <c r="EM15" s="294" t="e">
        <f>($S15+$Q15*($O15+$I15*($D15*(1-Stoff!$P15))*(1-EXP(-($F15+Stoff!$L15*365)*EL15)))*(1-EXP(-($N15+Stoff!$M15*365)*EL15)))</f>
        <v>#VALUE!</v>
      </c>
      <c r="EN15" s="296" t="e">
        <f>($S15+$Q15*($O15+$I15*($D15*(1-Stoff!$P15))*(1-EXP(-($F15+Stoff!$L15*365)*(EL15-'1a. Spredningsmodell input'!$C$35))))*(1-EXP(-($N15+Stoff!$M15*365)*(EL15-'1a. Spredningsmodell input'!$C$35))))</f>
        <v>#VALUE!</v>
      </c>
      <c r="EO15" s="294" t="e">
        <f>IF(EL15&lt;'1a. Spredningsmodell input'!$C$35,EM15-($S15)*EXP(-(Stoff!$N15*365+$U15)*EL15),EM15-EN15)</f>
        <v>#VALUE!</v>
      </c>
      <c r="EP15" s="290" t="e">
        <f>((($D15*(Stoff!$P15))*(1-EXP(-'1a. Spredningsmodell input'!$B$43*EL15)))*(1-EXP(-'1a. Spredningsmodell input'!$B$46*EL15)))</f>
        <v>#VALUE!</v>
      </c>
      <c r="EQ15" s="294" t="e">
        <f>((($D15*(Stoff!$P15))*(1-EXP(-'1a. Spredningsmodell input'!$B$43*(EL15-'1a. Spredningsmodell input'!$C$35))))*(1-EXP(-'1a. Spredningsmodell input'!$B$46*(EL15-'1a. Spredningsmodell input'!$C$35))))</f>
        <v>#VALUE!</v>
      </c>
      <c r="ER15" s="290" t="e">
        <f>IF(EL15&lt;'1a. Spredningsmodell input'!$C$35,0,EP15-EQ15)</f>
        <v>#VALUE!</v>
      </c>
      <c r="ES15" s="297" t="e">
        <f>($S15)*EXP(-(Stoff!$N15*365+$U15)*EL15)+EO15</f>
        <v>#VALUE!</v>
      </c>
      <c r="ET15" s="297" t="e">
        <f>(Stoff!$P15*$S15+ER15)*EXP(-$T15*EL15)</f>
        <v>#VALUE!</v>
      </c>
      <c r="EU15" s="297" t="e">
        <f>(ES15+ET15)*1000000000/('1a. Spredningsmodell input'!$C$36*1000)</f>
        <v>#VALUE!</v>
      </c>
      <c r="EV15" s="262" t="e">
        <f t="shared" si="12"/>
        <v>#VALUE!</v>
      </c>
      <c r="EW15" s="299" t="e">
        <f t="shared" si="13"/>
        <v>#VALUE!</v>
      </c>
      <c r="EX15" s="262" t="e">
        <f t="shared" si="24"/>
        <v>#VALUE!</v>
      </c>
    </row>
    <row r="16" spans="1:154" x14ac:dyDescent="0.35">
      <c r="A16" s="50" t="s">
        <v>194</v>
      </c>
      <c r="B16" s="34" t="str">
        <f>IF(ISNUMBER('1c. Kons. porevann'!E16),1000*'1c. Kons. porevann'!E16,IF(ISNUMBER('1b. Kons. umettet jord'!E16),1000*'1b. Kons. umettet jord'!E16/C16,""))</f>
        <v/>
      </c>
      <c r="C16" s="244">
        <f>IF(Stoff!B16="uorganisk",Stoff!C16,Stoff!D16*'1a. Spredningsmodell input'!$C$11)</f>
        <v>37.15</v>
      </c>
      <c r="D16" s="34" t="str">
        <f>IF(ISNUMBER(B16),0.000001*('1b. Kons. umettet jord'!G16*'1a. Spredningsmodell input'!$C$12+B16*0.001*'1a. Spredningsmodell input'!$C$14)*1000*'1a. Spredningsmodell input'!$B$41*'1a. Spredningsmodell input'!$C$18,"")</f>
        <v/>
      </c>
      <c r="E16" s="283">
        <f>C16*'1a. Spredningsmodell input'!$C$12/'1a. Spredningsmodell input'!$C$14+1</f>
        <v>316.77499999999998</v>
      </c>
      <c r="F16" s="284">
        <f>'1a. Spredningsmodell input'!$B$43/E16</f>
        <v>4.7352221608397121E-3</v>
      </c>
      <c r="G16" s="34" t="e">
        <f>Stoff!P16*Mellomregninger!D16</f>
        <v>#VALUE!</v>
      </c>
      <c r="H16" s="283" t="e">
        <f>(D16-G16)*(F16/(F16+Stoff!L16))</f>
        <v>#VALUE!</v>
      </c>
      <c r="I16" s="283">
        <f>F16/(F16+Stoff!L16)</f>
        <v>1</v>
      </c>
      <c r="J16" s="285" t="str">
        <f>IF(B16="","",IF(ISNUMBER('1d. Kons. mettet sone'!E16),'1d. Kons. mettet sone'!E16,IF(ISNUMBER('1e. Kons. grunnvann'!E16),'1e. Kons. grunnvann'!E16*Mellomregninger!K16,0)))</f>
        <v/>
      </c>
      <c r="K16" s="286">
        <f>IF(Stoff!B16="uorganisk",Stoff!C16,Stoff!D16*'1a. Spredningsmodell input'!$C$24)</f>
        <v>3.7149999999999999</v>
      </c>
      <c r="L16" s="27" t="e">
        <f>IF(ISNUMBER('1e. Kons. grunnvann'!E16),1000*'1e. Kons. grunnvann'!E16,1000*J16/K16)</f>
        <v>#VALUE!</v>
      </c>
      <c r="M16" s="34">
        <f>K16*'1a. Spredningsmodell input'!$C$25/'1a. Spredningsmodell input'!$C$26+1</f>
        <v>16.788749999999997</v>
      </c>
      <c r="N16" s="284">
        <f>'1a. Spredningsmodell input'!$C$26/M16</f>
        <v>2.3825478370932924E-2</v>
      </c>
      <c r="O16" s="287" t="e">
        <f>0.000000001*(J16*'1a. Spredningsmodell input'!$C$25+L16)*1000*'1a. Spredningsmodell input'!$B$45</f>
        <v>#VALUE!</v>
      </c>
      <c r="P16" s="287" t="e">
        <f>O16*Stoff!P16</f>
        <v>#VALUE!</v>
      </c>
      <c r="Q16" s="287">
        <f>N16/(N16+Stoff!M16)</f>
        <v>1</v>
      </c>
      <c r="R16" s="288">
        <f>IF(ISNUMBER('1f. Kons. resipient'!E16),'1f. Kons. resipient'!E16,0)</f>
        <v>0</v>
      </c>
      <c r="S16" s="288">
        <f>0.000000001*'1a. Spredningsmodell input'!$C$36*R16*1000</f>
        <v>0</v>
      </c>
      <c r="T16" s="288">
        <f>1/'1a. Spredningsmodell input'!$C$35</f>
        <v>1</v>
      </c>
      <c r="U16" s="288">
        <f>1/'1a. Spredningsmodell input'!$C$35</f>
        <v>1</v>
      </c>
      <c r="V16" s="300" t="e">
        <f>(1/($N16+Stoff!$L16))*(LN(($D16*$I16/($D16*$I16+$J16))*($F16+Stoff!$L16+$N16+Stoff!$M16)/($N16+Stoff!$M16)))</f>
        <v>#VALUE!</v>
      </c>
      <c r="W16" s="290" t="e">
        <f>($D16-Stoff!$P16*$D16)*EXP(-($F16+Stoff!$L16*365)*V16)</f>
        <v>#VALUE!</v>
      </c>
      <c r="X16" s="291" t="e">
        <f>(Stoff!$P16*$D16)*EXP(-'1a. Spredningsmodell input'!$B$43*V16)</f>
        <v>#VALUE!</v>
      </c>
      <c r="Y16" s="290" t="e">
        <f>($D16-Stoff!$P16*$D16-W16)*($F16/($F16+Stoff!$L16*365))</f>
        <v>#VALUE!</v>
      </c>
      <c r="Z16" s="290" t="e">
        <f>(Stoff!$P16*$D16)-X16</f>
        <v>#VALUE!</v>
      </c>
      <c r="AA16" s="290" t="e">
        <f>($O16+Y16)*EXP(-($N16+Stoff!$M16*365)*V16)</f>
        <v>#VALUE!</v>
      </c>
      <c r="AB16" s="290" t="e">
        <f>(Stoff!$P16*$O16+Z16)*EXP(-('1a. Spredningsmodell input'!$B$46)*V16)</f>
        <v>#VALUE!</v>
      </c>
      <c r="AC16" s="292" t="e">
        <f>((AA16+AB16)*1000000000)/('1a. Spredningsmodell input'!$B$45*1000)</f>
        <v>#VALUE!</v>
      </c>
      <c r="AD16" s="294" t="e">
        <f>0.001*AC16/('1a. Spredningsmodell input'!$C$25+'1a. Spredningsmodell input'!$C$26/Mellomregninger!$K16)</f>
        <v>#VALUE!</v>
      </c>
      <c r="AE16" s="294" t="e">
        <f>1000*AD16/$K16+AB16*1000000000/('1a. Spredningsmodell input'!$B$45*1000)</f>
        <v>#VALUE!</v>
      </c>
      <c r="AF16" s="294" t="e">
        <f t="shared" si="0"/>
        <v>#VALUE!</v>
      </c>
      <c r="AG16" s="294" t="e">
        <f>AB16*1000000000/('1a. Spredningsmodell input'!$B$45*1000)</f>
        <v>#VALUE!</v>
      </c>
      <c r="AH16" s="300" t="e">
        <f>(1/('1a. Spredningsmodell input'!$B$46))*(LN(($D16*Stoff!$P16/($D16*Stoff!$P16+$P16*Stoff!$P16))*('1a. Spredningsmodell input'!$B$43+'1a. Spredningsmodell input'!$B$46)/('1a. Spredningsmodell input'!$B$46)))</f>
        <v>#VALUE!</v>
      </c>
      <c r="AI16" s="290" t="e">
        <f>($D16-Stoff!$P16*$D16)*EXP(-($F16+Stoff!$L16*365)*AH16)</f>
        <v>#VALUE!</v>
      </c>
      <c r="AJ16" s="291" t="e">
        <f>(Stoff!$P16*$D16)*EXP(-'1a. Spredningsmodell input'!$B$43*AH16)</f>
        <v>#VALUE!</v>
      </c>
      <c r="AK16" s="290" t="e">
        <f>($D16-Stoff!$P16*$D16-AI16)*($F16/($F16+Stoff!$L16*365))</f>
        <v>#VALUE!</v>
      </c>
      <c r="AL16" s="290" t="e">
        <f>(Stoff!$P16*$D16)-AJ16</f>
        <v>#VALUE!</v>
      </c>
      <c r="AM16" s="290" t="e">
        <f>($O16+AK16)*EXP(-($N16+Stoff!$M16*365)*AH16)</f>
        <v>#VALUE!</v>
      </c>
      <c r="AN16" s="290" t="e">
        <f>(Stoff!$P16*$O16+AL16)*EXP(-('1a. Spredningsmodell input'!$B$46)*AH16)</f>
        <v>#VALUE!</v>
      </c>
      <c r="AO16" s="292" t="e">
        <f>((AM16+AN16)*1000000000)/('1a. Spredningsmodell input'!$B$45*1000)</f>
        <v>#VALUE!</v>
      </c>
      <c r="AP16" s="294" t="e">
        <f>0.001*AO16/('1a. Spredningsmodell input'!$C$25+'1a. Spredningsmodell input'!$C$26/Mellomregninger!$K16)</f>
        <v>#VALUE!</v>
      </c>
      <c r="AQ16" s="294" t="e">
        <f>1000*AP16/$K16+AN16*1000000000/('1a. Spredningsmodell input'!$B$45*1000)</f>
        <v>#VALUE!</v>
      </c>
      <c r="AR16" s="294" t="e">
        <f t="shared" si="1"/>
        <v>#VALUE!</v>
      </c>
      <c r="AS16" s="294" t="e">
        <f>AN16*1000000000/('1a. Spredningsmodell input'!$B$45*1000)</f>
        <v>#VALUE!</v>
      </c>
      <c r="AT16" s="295">
        <f t="shared" si="14"/>
        <v>5</v>
      </c>
      <c r="AU16" s="290" t="e">
        <f>($D16-Stoff!$P16*$D16)*EXP(-($F16+Stoff!$L16*365)*AT16)</f>
        <v>#VALUE!</v>
      </c>
      <c r="AV16" s="291" t="e">
        <f>(Stoff!$P16*$D16)*EXP(-'1a. Spredningsmodell input'!$B$43*AT16)</f>
        <v>#VALUE!</v>
      </c>
      <c r="AW16" s="290" t="e">
        <f>($D16-Stoff!$P16*$D16-AU16)*($F16/($F16+Stoff!$L16*365))</f>
        <v>#VALUE!</v>
      </c>
      <c r="AX16" s="290" t="e">
        <f>(Stoff!$P16*$D16)-AV16</f>
        <v>#VALUE!</v>
      </c>
      <c r="AY16" s="290" t="e">
        <f>($O16+AW16)*EXP(-($N16+Stoff!$M16*365)*AT16)</f>
        <v>#VALUE!</v>
      </c>
      <c r="AZ16" s="290" t="e">
        <f>(Stoff!$P16*$O16+AX16)*EXP(-('1a. Spredningsmodell input'!$B$46)*AT16)</f>
        <v>#VALUE!</v>
      </c>
      <c r="BA16" s="292" t="e">
        <f>((AY16+AZ16)*1000000000)/('1a. Spredningsmodell input'!$B$45*1000)</f>
        <v>#VALUE!</v>
      </c>
      <c r="BB16" s="294" t="e">
        <f>0.001*BA16/('1a. Spredningsmodell input'!$C$25+'1a. Spredningsmodell input'!$C$26/Mellomregninger!$K16)</f>
        <v>#VALUE!</v>
      </c>
      <c r="BC16" s="294" t="e">
        <f>1000*BB16/$K16+AZ16*1000000000/('1a. Spredningsmodell input'!$B$45*1000)</f>
        <v>#VALUE!</v>
      </c>
      <c r="BD16" s="294" t="e">
        <f t="shared" si="2"/>
        <v>#VALUE!</v>
      </c>
      <c r="BE16" s="294" t="e">
        <f>AZ16*1000000000/('1a. Spredningsmodell input'!$B$45*1000)</f>
        <v>#VALUE!</v>
      </c>
      <c r="BF16" s="295">
        <f t="shared" si="15"/>
        <v>20</v>
      </c>
      <c r="BG16" s="290" t="e">
        <f>($D16-Stoff!$P16*$D16)*EXP(-($F16+Stoff!$L16*365)*BF16)</f>
        <v>#VALUE!</v>
      </c>
      <c r="BH16" s="291" t="e">
        <f>(Stoff!$P16*$D16)*EXP(-'1a. Spredningsmodell input'!$B$43*BF16)</f>
        <v>#VALUE!</v>
      </c>
      <c r="BI16" s="290" t="e">
        <f>($D16-Stoff!$P16*$D16-BG16)*($F16/($F16+Stoff!$L16*365))</f>
        <v>#VALUE!</v>
      </c>
      <c r="BJ16" s="290" t="e">
        <f>(Stoff!$P16*$D16)-BH16</f>
        <v>#VALUE!</v>
      </c>
      <c r="BK16" s="290" t="e">
        <f>($O16+BI16)*EXP(-($N16+Stoff!$M16*365)*BF16)</f>
        <v>#VALUE!</v>
      </c>
      <c r="BL16" s="290" t="e">
        <f>(Stoff!$P16*$O16+BJ16)*EXP(-('1a. Spredningsmodell input'!$B$46)*BF16)</f>
        <v>#VALUE!</v>
      </c>
      <c r="BM16" s="292" t="e">
        <f>((BK16+BL16)*1000000000)/('1a. Spredningsmodell input'!$B$45*1000)</f>
        <v>#VALUE!</v>
      </c>
      <c r="BN16" s="294" t="e">
        <f>0.001*BM16/('1a. Spredningsmodell input'!$C$25+'1a. Spredningsmodell input'!$C$26/Mellomregninger!$K16)</f>
        <v>#VALUE!</v>
      </c>
      <c r="BO16" s="294" t="e">
        <f>1000*BN16/$K16+BL16*1000000000/('1a. Spredningsmodell input'!$B$45*1000)</f>
        <v>#VALUE!</v>
      </c>
      <c r="BP16" s="294" t="e">
        <f t="shared" si="3"/>
        <v>#VALUE!</v>
      </c>
      <c r="BQ16" s="294" t="e">
        <f>BL16*1000000000/('1a. Spredningsmodell input'!$B$45*1000)</f>
        <v>#VALUE!</v>
      </c>
      <c r="BR16" s="295">
        <f t="shared" si="16"/>
        <v>100</v>
      </c>
      <c r="BS16" s="290" t="e">
        <f>($D16-Stoff!$P16*$D16)*EXP(-($F16+Stoff!$L16*365)*BR16)</f>
        <v>#VALUE!</v>
      </c>
      <c r="BT16" s="291" t="e">
        <f>(Stoff!$P16*$D16)*EXP(-'1a. Spredningsmodell input'!$B$43*BR16)</f>
        <v>#VALUE!</v>
      </c>
      <c r="BU16" s="290" t="e">
        <f>($D16-Stoff!$P16*$D16-BS16)*($F16/($F16+Stoff!$L16*365))</f>
        <v>#VALUE!</v>
      </c>
      <c r="BV16" s="290" t="e">
        <f>(Stoff!$P16*$D16)-BT16</f>
        <v>#VALUE!</v>
      </c>
      <c r="BW16" s="290" t="e">
        <f>($O16+BU16)*EXP(-($N16+Stoff!$M16*365)*BR16)</f>
        <v>#VALUE!</v>
      </c>
      <c r="BX16" s="290" t="e">
        <f>(Stoff!$P16*$O16+BV16)*EXP(-('1a. Spredningsmodell input'!$B$46)*BR16)</f>
        <v>#VALUE!</v>
      </c>
      <c r="BY16" s="292" t="e">
        <f>((BW16+BX16)*1000000000)/('1a. Spredningsmodell input'!$B$45*1000)</f>
        <v>#VALUE!</v>
      </c>
      <c r="BZ16" s="294" t="e">
        <f>0.001*BY16/('1a. Spredningsmodell input'!$C$25+'1a. Spredningsmodell input'!$C$26/Mellomregninger!$K16)</f>
        <v>#VALUE!</v>
      </c>
      <c r="CA16" s="294" t="e">
        <f>1000*BZ16/$K16+BX16*1000000000/('1a. Spredningsmodell input'!$B$45*1000)</f>
        <v>#VALUE!</v>
      </c>
      <c r="CB16" s="294" t="e">
        <f t="shared" si="4"/>
        <v>#VALUE!</v>
      </c>
      <c r="CC16" s="294" t="e">
        <f>BX16*1000000000/('1a. Spredningsmodell input'!$B$45*1000)</f>
        <v>#VALUE!</v>
      </c>
      <c r="CD16" s="294" t="e">
        <f>V16+'1a. Spredningsmodell input'!$C$35</f>
        <v>#VALUE!</v>
      </c>
      <c r="CE16" s="294" t="e">
        <f>($S16+$Q16*($O16+$I16*($D16*(1-Stoff!$P16))*(1-EXP(-($F16+Stoff!$L16*365)*CD16)))*(1-EXP(-($N16+Stoff!$M16*365)*CD16)))</f>
        <v>#VALUE!</v>
      </c>
      <c r="CF16" s="294" t="e">
        <f t="shared" si="5"/>
        <v>#VALUE!</v>
      </c>
      <c r="CG16" s="296" t="e">
        <f>(CF16/1000000)*'1a. Spredningsmodell input'!$B$49*'1a. Spredningsmodell input'!$C$35</f>
        <v>#VALUE!</v>
      </c>
      <c r="CH16" s="294" t="e">
        <f t="shared" si="17"/>
        <v>#VALUE!</v>
      </c>
      <c r="CI16" s="290" t="e">
        <f>(CH16/1000000)*'1a. Spredningsmodell input'!$B$49*'1a. Spredningsmodell input'!$C$35</f>
        <v>#VALUE!</v>
      </c>
      <c r="CJ16" s="297" t="e">
        <f>($S16)*EXP(-(Stoff!$N16*365+$U16)*CD16)+CG16</f>
        <v>#VALUE!</v>
      </c>
      <c r="CK16" s="297" t="e">
        <f>(Stoff!$P16*$S16+CI16)*EXP(-$T16*CD16)</f>
        <v>#VALUE!</v>
      </c>
      <c r="CL16" s="297" t="e">
        <f>(CJ16+CK16)*1000000000/('1a. Spredningsmodell input'!$C$36*1000)</f>
        <v>#VALUE!</v>
      </c>
      <c r="CM16" s="297" t="e">
        <f>$G16*(1-EXP(-'1a. Spredningsmodell input'!$B$43*Mellomregninger!CD16))*(1-EXP(-'1a. Spredningsmodell input'!$B$46*Mellomregninger!CD16))</f>
        <v>#VALUE!</v>
      </c>
      <c r="CN16" s="297"/>
      <c r="CO16" s="297"/>
      <c r="CP16" s="290">
        <f>IF(ISNUMBER(AH16),AH16+'1a. Spredningsmodell input'!$C$35,'1a. Spredningsmodell input'!$C$35)</f>
        <v>1</v>
      </c>
      <c r="CQ16" s="294" t="e">
        <f>($S16+$Q16*($O16+$I16*($D16*(1-Stoff!$P16))*(1-EXP(-($F16+Stoff!$L16*365)*CP16)))*(1-EXP(-($N16+Stoff!$M16*365)*CP16)))</f>
        <v>#VALUE!</v>
      </c>
      <c r="CR16" s="294" t="e">
        <f t="shared" si="6"/>
        <v>#VALUE!</v>
      </c>
      <c r="CS16" s="296" t="e">
        <f>(CR16/1000000)*('1a. Spredningsmodell input'!$B$49*'1a. Spredningsmodell input'!$C$35)</f>
        <v>#VALUE!</v>
      </c>
      <c r="CT16" s="294" t="e">
        <f t="shared" si="7"/>
        <v>#VALUE!</v>
      </c>
      <c r="CU16" s="290" t="e">
        <f>(CT16/1000000)*('1a. Spredningsmodell input'!$B$49)*'1a. Spredningsmodell input'!$C$35</f>
        <v>#VALUE!</v>
      </c>
      <c r="CV16" s="297" t="e">
        <f>($S16)*EXP(-(Stoff!$N16*365+$U16)*CP16)+CS16</f>
        <v>#VALUE!</v>
      </c>
      <c r="CW16" s="297" t="e">
        <f>(Stoff!$P16*$S16+CU16)*EXP(-$T16*CP16)</f>
        <v>#VALUE!</v>
      </c>
      <c r="CX16" s="297">
        <f>IF(ISERROR(CV16),0,(CV16+CW16)*1000000000/('1a. Spredningsmodell input'!$C$36*1000))</f>
        <v>0</v>
      </c>
      <c r="CY16" s="297" t="e">
        <f>$G16*(1-EXP(-'1a. Spredningsmodell input'!$B$43*Mellomregninger!CP16))*(1-EXP(-'1a. Spredningsmodell input'!$B$46*Mellomregninger!CP16))</f>
        <v>#VALUE!</v>
      </c>
      <c r="CZ16" s="297"/>
      <c r="DA16" s="297"/>
      <c r="DB16" s="262">
        <f t="shared" si="18"/>
        <v>5</v>
      </c>
      <c r="DC16" s="298" t="e">
        <f>($S16+$Q16*($O16+$I16*($D16*(1-Stoff!$P16))*(1-EXP(-($F16+Stoff!$L16*365)*DB16)))*(1-EXP(-($N16+Stoff!$M16*365)*DB16)))</f>
        <v>#VALUE!</v>
      </c>
      <c r="DD16" s="294" t="e">
        <f t="shared" si="8"/>
        <v>#VALUE!</v>
      </c>
      <c r="DE16" s="296" t="e">
        <f>(DD16/1000000)*('1a. Spredningsmodell input'!$B$49)*'1a. Spredningsmodell input'!$C$35</f>
        <v>#VALUE!</v>
      </c>
      <c r="DF16" s="294" t="e">
        <f t="shared" si="19"/>
        <v>#VALUE!</v>
      </c>
      <c r="DG16" s="290" t="e">
        <f>(DF16/1000000)*('1a. Spredningsmodell input'!$B$49)*'1a. Spredningsmodell input'!$C$35</f>
        <v>#VALUE!</v>
      </c>
      <c r="DH16" s="297" t="e">
        <f>($S16)*EXP(-(Stoff!$N16*365+$U16)*DB16)+DE16</f>
        <v>#VALUE!</v>
      </c>
      <c r="DI16" s="297" t="e">
        <f>(Stoff!$P16*$S16+DG16)*EXP(-$T16*DB16)</f>
        <v>#VALUE!</v>
      </c>
      <c r="DJ16" s="297" t="e">
        <f>(DH16+DI16)*1000000000/('1a. Spredningsmodell input'!$C$36*1000)</f>
        <v>#VALUE!</v>
      </c>
      <c r="DK16" s="297" t="e">
        <f>$G16*(1-EXP(-'1a. Spredningsmodell input'!$B$43*Mellomregninger!DB16))*(1-EXP(-'1a. Spredningsmodell input'!$B$46*Mellomregninger!DB16))</f>
        <v>#VALUE!</v>
      </c>
      <c r="DL16" s="297"/>
      <c r="DM16" s="297"/>
      <c r="DN16" s="262">
        <f t="shared" si="20"/>
        <v>20</v>
      </c>
      <c r="DO16" s="298" t="e">
        <f>($S16+$Q16*($O16+$I16*($D16*(1-Stoff!$P16))*(1-EXP(-($F16+Stoff!$L16*365)*DN16)))*(1-EXP(-($N16+Stoff!$M16*365)*DN16)))</f>
        <v>#VALUE!</v>
      </c>
      <c r="DP16" s="294" t="e">
        <f t="shared" si="21"/>
        <v>#VALUE!</v>
      </c>
      <c r="DQ16" s="296" t="e">
        <f>(DP16/1000000)*('1a. Spredningsmodell input'!$B$49)*'1a. Spredningsmodell input'!$C$35</f>
        <v>#VALUE!</v>
      </c>
      <c r="DR16" s="294" t="e">
        <f t="shared" si="9"/>
        <v>#VALUE!</v>
      </c>
      <c r="DS16" s="290" t="e">
        <f>(DR16/1000000)*('1a. Spredningsmodell input'!$B$49)*'1a. Spredningsmodell input'!$C$35</f>
        <v>#VALUE!</v>
      </c>
      <c r="DT16" s="297" t="e">
        <f>($S16)*EXP(-(Stoff!$N16*365+$U16)*DN16)+DQ16</f>
        <v>#VALUE!</v>
      </c>
      <c r="DU16" s="297" t="e">
        <f>(Stoff!$P16*$S16+DS16)*EXP(-$T16*DN16)</f>
        <v>#VALUE!</v>
      </c>
      <c r="DV16" s="297" t="e">
        <f>(DT16+DU16)*1000000000/('1a. Spredningsmodell input'!$C$36*1000)</f>
        <v>#VALUE!</v>
      </c>
      <c r="DW16" s="297" t="e">
        <f>$G16*(1-EXP(-'1a. Spredningsmodell input'!$B$43*Mellomregninger!DN16))*(1-EXP(-'1a. Spredningsmodell input'!$B$46*Mellomregninger!DN16))</f>
        <v>#VALUE!</v>
      </c>
      <c r="DX16" s="297"/>
      <c r="DY16" s="297"/>
      <c r="DZ16" s="262">
        <f t="shared" si="22"/>
        <v>100</v>
      </c>
      <c r="EA16" s="298" t="e">
        <f>($S16+$Q16*($O16+$I16*($D16*(1-Stoff!$P16))*(1-EXP(-($F16+Stoff!$L16*365)*DZ16)))*(1-EXP(-($N16+Stoff!$M16*365)*DZ16)))</f>
        <v>#VALUE!</v>
      </c>
      <c r="EB16" s="294" t="e">
        <f t="shared" si="10"/>
        <v>#VALUE!</v>
      </c>
      <c r="EC16" s="296" t="e">
        <f>(EB16/1000000)*('1a. Spredningsmodell input'!$B$49)*'1a. Spredningsmodell input'!$C$35</f>
        <v>#VALUE!</v>
      </c>
      <c r="ED16" s="294" t="e">
        <f t="shared" si="11"/>
        <v>#VALUE!</v>
      </c>
      <c r="EE16" s="290" t="e">
        <f>(ED16/1000000)*('1a. Spredningsmodell input'!$B$49)*'1a. Spredningsmodell input'!$C$35</f>
        <v>#VALUE!</v>
      </c>
      <c r="EF16" s="297" t="e">
        <f>($S16)*EXP(-(Stoff!$N16*365+$U16)*DZ16)+EC16</f>
        <v>#VALUE!</v>
      </c>
      <c r="EG16" s="297" t="e">
        <f>(Stoff!$P16*$S16+EE16)*EXP(-$T16*DZ16)</f>
        <v>#VALUE!</v>
      </c>
      <c r="EH16" s="297" t="e">
        <f>(EF16+EG16)*1000000000/('1a. Spredningsmodell input'!$C$36*1000)</f>
        <v>#VALUE!</v>
      </c>
      <c r="EI16" s="297" t="e">
        <f>$G16*(1-EXP(-'1a. Spredningsmodell input'!$B$43*Mellomregninger!DZ16))*(1-EXP(-'1a. Spredningsmodell input'!$B$46*Mellomregninger!DZ16))</f>
        <v>#VALUE!</v>
      </c>
      <c r="EJ16" s="297"/>
      <c r="EK16" s="297"/>
      <c r="EL16" s="262">
        <f t="shared" si="23"/>
        <v>1.0000000000000001E+25</v>
      </c>
      <c r="EM16" s="294" t="e">
        <f>($S16+$Q16*($O16+$I16*($D16*(1-Stoff!$P16))*(1-EXP(-($F16+Stoff!$L16*365)*EL16)))*(1-EXP(-($N16+Stoff!$M16*365)*EL16)))</f>
        <v>#VALUE!</v>
      </c>
      <c r="EN16" s="296" t="e">
        <f>($S16+$Q16*($O16+$I16*($D16*(1-Stoff!$P16))*(1-EXP(-($F16+Stoff!$L16*365)*(EL16-'1a. Spredningsmodell input'!$C$35))))*(1-EXP(-($N16+Stoff!$M16*365)*(EL16-'1a. Spredningsmodell input'!$C$35))))</f>
        <v>#VALUE!</v>
      </c>
      <c r="EO16" s="294" t="e">
        <f>IF(EL16&lt;'1a. Spredningsmodell input'!$C$35,EM16-($S16)*EXP(-(Stoff!$N16*365+$U16)*EL16),EM16-EN16)</f>
        <v>#VALUE!</v>
      </c>
      <c r="EP16" s="290" t="e">
        <f>((($D16*(Stoff!$P16))*(1-EXP(-'1a. Spredningsmodell input'!$B$43*EL16)))*(1-EXP(-'1a. Spredningsmodell input'!$B$46*EL16)))</f>
        <v>#VALUE!</v>
      </c>
      <c r="EQ16" s="294" t="e">
        <f>((($D16*(Stoff!$P16))*(1-EXP(-'1a. Spredningsmodell input'!$B$43*(EL16-'1a. Spredningsmodell input'!$C$35))))*(1-EXP(-'1a. Spredningsmodell input'!$B$46*(EL16-'1a. Spredningsmodell input'!$C$35))))</f>
        <v>#VALUE!</v>
      </c>
      <c r="ER16" s="290" t="e">
        <f>IF(EL16&lt;'1a. Spredningsmodell input'!$C$35,0,EP16-EQ16)</f>
        <v>#VALUE!</v>
      </c>
      <c r="ES16" s="297" t="e">
        <f>($S16)*EXP(-(Stoff!$N16*365+$U16)*EL16)+EO16</f>
        <v>#VALUE!</v>
      </c>
      <c r="ET16" s="297" t="e">
        <f>(Stoff!$P16*$S16+ER16)*EXP(-$T16*EL16)</f>
        <v>#VALUE!</v>
      </c>
      <c r="EU16" s="297" t="e">
        <f>(ES16+ET16)*1000000000/('1a. Spredningsmodell input'!$C$36*1000)</f>
        <v>#VALUE!</v>
      </c>
      <c r="EV16" s="262" t="e">
        <f t="shared" si="12"/>
        <v>#VALUE!</v>
      </c>
      <c r="EW16" s="299" t="e">
        <f t="shared" si="13"/>
        <v>#VALUE!</v>
      </c>
      <c r="EX16" s="262" t="e">
        <f t="shared" si="24"/>
        <v>#VALUE!</v>
      </c>
    </row>
    <row r="17" spans="1:154" x14ac:dyDescent="0.35">
      <c r="A17" s="50" t="s">
        <v>193</v>
      </c>
      <c r="B17" s="34" t="str">
        <f>IF(ISNUMBER('1c. Kons. porevann'!E17),1000*'1c. Kons. porevann'!E17,IF(ISNUMBER('1b. Kons. umettet jord'!E17),1000*'1b. Kons. umettet jord'!E17/C17,""))</f>
        <v/>
      </c>
      <c r="C17" s="244">
        <f>IF(Stoff!B17="uorganisk",Stoff!C17,Stoff!D17*'1a. Spredningsmodell input'!$C$11)</f>
        <v>62158.57</v>
      </c>
      <c r="D17" s="34" t="str">
        <f>IF(ISNUMBER(B17),0.000001*('1b. Kons. umettet jord'!G17*'1a. Spredningsmodell input'!$C$12+B17*0.001*'1a. Spredningsmodell input'!$C$14)*1000*'1a. Spredningsmodell input'!$B$41*'1a. Spredningsmodell input'!$C$18,"")</f>
        <v/>
      </c>
      <c r="E17" s="283">
        <f>C17*'1a. Spredningsmodell input'!$C$12/'1a. Spredningsmodell input'!$C$14+1</f>
        <v>528348.84499999997</v>
      </c>
      <c r="F17" s="284">
        <f>'1a. Spredningsmodell input'!$B$43/E17</f>
        <v>2.8390333662979802E-6</v>
      </c>
      <c r="G17" s="34" t="e">
        <f>Stoff!P17*Mellomregninger!D17</f>
        <v>#VALUE!</v>
      </c>
      <c r="H17" s="283" t="e">
        <f>(D17-G17)*(F17/(F17+Stoff!L17))</f>
        <v>#VALUE!</v>
      </c>
      <c r="I17" s="283">
        <f>F17/(F17+Stoff!L17)</f>
        <v>1</v>
      </c>
      <c r="J17" s="285" t="str">
        <f>IF(B17="","",IF(ISNUMBER('1d. Kons. mettet sone'!E17),'1d. Kons. mettet sone'!E17,IF(ISNUMBER('1e. Kons. grunnvann'!E17),'1e. Kons. grunnvann'!E17*Mellomregninger!K17,0)))</f>
        <v/>
      </c>
      <c r="K17" s="286">
        <f>IF(Stoff!B17="uorganisk",Stoff!C17,Stoff!D17*'1a. Spredningsmodell input'!$C$24)</f>
        <v>6215.857</v>
      </c>
      <c r="L17" s="27" t="e">
        <f>IF(ISNUMBER('1e. Kons. grunnvann'!E17),1000*'1e. Kons. grunnvann'!E17,1000*J17/K17)</f>
        <v>#VALUE!</v>
      </c>
      <c r="M17" s="34">
        <f>K17*'1a. Spredningsmodell input'!$C$25/'1a. Spredningsmodell input'!$C$26+1</f>
        <v>26418.392249999997</v>
      </c>
      <c r="N17" s="284">
        <f>'1a. Spredningsmodell input'!$C$26/M17</f>
        <v>1.5140966801263241E-5</v>
      </c>
      <c r="O17" s="287" t="e">
        <f>0.000000001*(J17*'1a. Spredningsmodell input'!$C$25+L17)*1000*'1a. Spredningsmodell input'!$B$45</f>
        <v>#VALUE!</v>
      </c>
      <c r="P17" s="287" t="e">
        <f>O17*Stoff!P17</f>
        <v>#VALUE!</v>
      </c>
      <c r="Q17" s="287">
        <f>N17/(N17+Stoff!M17)</f>
        <v>1</v>
      </c>
      <c r="R17" s="288">
        <f>IF(ISNUMBER('1f. Kons. resipient'!E17),'1f. Kons. resipient'!E17,0)</f>
        <v>0</v>
      </c>
      <c r="S17" s="288">
        <f>0.000000001*'1a. Spredningsmodell input'!$C$36*R17*1000</f>
        <v>0</v>
      </c>
      <c r="T17" s="288">
        <f>1/'1a. Spredningsmodell input'!$C$35</f>
        <v>1</v>
      </c>
      <c r="U17" s="288">
        <f>1/'1a. Spredningsmodell input'!$C$35</f>
        <v>1</v>
      </c>
      <c r="V17" s="300" t="e">
        <f>(1/($N17+Stoff!$L17))*(LN(($D17*$I17/($D17*$I17+$J17))*($F17+Stoff!$L17+$N17+Stoff!$M17)/($N17+Stoff!$M17)))</f>
        <v>#VALUE!</v>
      </c>
      <c r="W17" s="290" t="e">
        <f>($D17-Stoff!$P17*$D17)*EXP(-($F17+Stoff!$L17*365)*V17)</f>
        <v>#VALUE!</v>
      </c>
      <c r="X17" s="291" t="e">
        <f>(Stoff!$P17*$D17)*EXP(-'1a. Spredningsmodell input'!$B$43*V17)</f>
        <v>#VALUE!</v>
      </c>
      <c r="Y17" s="290" t="e">
        <f>($D17-Stoff!$P17*$D17-W17)*($F17/($F17+Stoff!$L17*365))</f>
        <v>#VALUE!</v>
      </c>
      <c r="Z17" s="290" t="e">
        <f>(Stoff!$P17*$D17)-X17</f>
        <v>#VALUE!</v>
      </c>
      <c r="AA17" s="290" t="e">
        <f>($O17+Y17)*EXP(-($N17+Stoff!$M17*365)*V17)</f>
        <v>#VALUE!</v>
      </c>
      <c r="AB17" s="290" t="e">
        <f>(Stoff!$P17*$O17+Z17)*EXP(-('1a. Spredningsmodell input'!$B$46)*V17)</f>
        <v>#VALUE!</v>
      </c>
      <c r="AC17" s="292" t="e">
        <f>((AA17+AB17)*1000000000)/('1a. Spredningsmodell input'!$B$45*1000)</f>
        <v>#VALUE!</v>
      </c>
      <c r="AD17" s="294" t="e">
        <f>0.001*AC17/('1a. Spredningsmodell input'!$C$25+'1a. Spredningsmodell input'!$C$26/Mellomregninger!$K17)</f>
        <v>#VALUE!</v>
      </c>
      <c r="AE17" s="294" t="e">
        <f>1000*AD17/$K17+AB17*1000000000/('1a. Spredningsmodell input'!$B$45*1000)</f>
        <v>#VALUE!</v>
      </c>
      <c r="AF17" s="294" t="e">
        <f t="shared" si="0"/>
        <v>#VALUE!</v>
      </c>
      <c r="AG17" s="294" t="e">
        <f>AB17*1000000000/('1a. Spredningsmodell input'!$B$45*1000)</f>
        <v>#VALUE!</v>
      </c>
      <c r="AH17" s="300" t="e">
        <f>(1/('1a. Spredningsmodell input'!$B$46))*(LN(($D17*Stoff!$P17/($D17*Stoff!$P17+$P17*Stoff!$P17))*('1a. Spredningsmodell input'!$B$43+'1a. Spredningsmodell input'!$B$46)/('1a. Spredningsmodell input'!$B$46)))</f>
        <v>#VALUE!</v>
      </c>
      <c r="AI17" s="290" t="e">
        <f>($D17-Stoff!$P17*$D17)*EXP(-($F17+Stoff!$L17*365)*AH17)</f>
        <v>#VALUE!</v>
      </c>
      <c r="AJ17" s="291" t="e">
        <f>(Stoff!$P17*$D17)*EXP(-'1a. Spredningsmodell input'!$B$43*AH17)</f>
        <v>#VALUE!</v>
      </c>
      <c r="AK17" s="290" t="e">
        <f>($D17-Stoff!$P17*$D17-AI17)*($F17/($F17+Stoff!$L17*365))</f>
        <v>#VALUE!</v>
      </c>
      <c r="AL17" s="290" t="e">
        <f>(Stoff!$P17*$D17)-AJ17</f>
        <v>#VALUE!</v>
      </c>
      <c r="AM17" s="290" t="e">
        <f>($O17+AK17)*EXP(-($N17+Stoff!$M17*365)*AH17)</f>
        <v>#VALUE!</v>
      </c>
      <c r="AN17" s="290" t="e">
        <f>(Stoff!$P17*$O17+AL17)*EXP(-('1a. Spredningsmodell input'!$B$46)*AH17)</f>
        <v>#VALUE!</v>
      </c>
      <c r="AO17" s="292" t="e">
        <f>((AM17+AN17)*1000000000)/('1a. Spredningsmodell input'!$B$45*1000)</f>
        <v>#VALUE!</v>
      </c>
      <c r="AP17" s="294" t="e">
        <f>0.001*AO17/('1a. Spredningsmodell input'!$C$25+'1a. Spredningsmodell input'!$C$26/Mellomregninger!$K17)</f>
        <v>#VALUE!</v>
      </c>
      <c r="AQ17" s="294" t="e">
        <f>1000*AP17/$K17+AN17*1000000000/('1a. Spredningsmodell input'!$B$45*1000)</f>
        <v>#VALUE!</v>
      </c>
      <c r="AR17" s="294" t="e">
        <f t="shared" si="1"/>
        <v>#VALUE!</v>
      </c>
      <c r="AS17" s="294" t="e">
        <f>AN17*1000000000/('1a. Spredningsmodell input'!$B$45*1000)</f>
        <v>#VALUE!</v>
      </c>
      <c r="AT17" s="295">
        <f t="shared" si="14"/>
        <v>5</v>
      </c>
      <c r="AU17" s="290" t="e">
        <f>($D17-Stoff!$P17*$D17)*EXP(-($F17+Stoff!$L17*365)*AT17)</f>
        <v>#VALUE!</v>
      </c>
      <c r="AV17" s="291" t="e">
        <f>(Stoff!$P17*$D17)*EXP(-'1a. Spredningsmodell input'!$B$43*AT17)</f>
        <v>#VALUE!</v>
      </c>
      <c r="AW17" s="290" t="e">
        <f>($D17-Stoff!$P17*$D17-AU17)*($F17/($F17+Stoff!$L17*365))</f>
        <v>#VALUE!</v>
      </c>
      <c r="AX17" s="290" t="e">
        <f>(Stoff!$P17*$D17)-AV17</f>
        <v>#VALUE!</v>
      </c>
      <c r="AY17" s="290" t="e">
        <f>($O17+AW17)*EXP(-($N17+Stoff!$M17*365)*AT17)</f>
        <v>#VALUE!</v>
      </c>
      <c r="AZ17" s="290" t="e">
        <f>(Stoff!$P17*$O17+AX17)*EXP(-('1a. Spredningsmodell input'!$B$46)*AT17)</f>
        <v>#VALUE!</v>
      </c>
      <c r="BA17" s="292" t="e">
        <f>((AY17+AZ17)*1000000000)/('1a. Spredningsmodell input'!$B$45*1000)</f>
        <v>#VALUE!</v>
      </c>
      <c r="BB17" s="294" t="e">
        <f>0.001*BA17/('1a. Spredningsmodell input'!$C$25+'1a. Spredningsmodell input'!$C$26/Mellomregninger!$K17)</f>
        <v>#VALUE!</v>
      </c>
      <c r="BC17" s="294" t="e">
        <f>1000*BB17/$K17+AZ17*1000000000/('1a. Spredningsmodell input'!$B$45*1000)</f>
        <v>#VALUE!</v>
      </c>
      <c r="BD17" s="294" t="e">
        <f t="shared" si="2"/>
        <v>#VALUE!</v>
      </c>
      <c r="BE17" s="294" t="e">
        <f>AZ17*1000000000/('1a. Spredningsmodell input'!$B$45*1000)</f>
        <v>#VALUE!</v>
      </c>
      <c r="BF17" s="295">
        <f t="shared" si="15"/>
        <v>20</v>
      </c>
      <c r="BG17" s="290" t="e">
        <f>($D17-Stoff!$P17*$D17)*EXP(-($F17+Stoff!$L17*365)*BF17)</f>
        <v>#VALUE!</v>
      </c>
      <c r="BH17" s="291" t="e">
        <f>(Stoff!$P17*$D17)*EXP(-'1a. Spredningsmodell input'!$B$43*BF17)</f>
        <v>#VALUE!</v>
      </c>
      <c r="BI17" s="290" t="e">
        <f>($D17-Stoff!$P17*$D17-BG17)*($F17/($F17+Stoff!$L17*365))</f>
        <v>#VALUE!</v>
      </c>
      <c r="BJ17" s="290" t="e">
        <f>(Stoff!$P17*$D17)-BH17</f>
        <v>#VALUE!</v>
      </c>
      <c r="BK17" s="290" t="e">
        <f>($O17+BI17)*EXP(-($N17+Stoff!$M17*365)*BF17)</f>
        <v>#VALUE!</v>
      </c>
      <c r="BL17" s="290" t="e">
        <f>(Stoff!$P17*$O17+BJ17)*EXP(-('1a. Spredningsmodell input'!$B$46)*BF17)</f>
        <v>#VALUE!</v>
      </c>
      <c r="BM17" s="292" t="e">
        <f>((BK17+BL17)*1000000000)/('1a. Spredningsmodell input'!$B$45*1000)</f>
        <v>#VALUE!</v>
      </c>
      <c r="BN17" s="294" t="e">
        <f>0.001*BM17/('1a. Spredningsmodell input'!$C$25+'1a. Spredningsmodell input'!$C$26/Mellomregninger!$K17)</f>
        <v>#VALUE!</v>
      </c>
      <c r="BO17" s="294" t="e">
        <f>1000*BN17/$K17+BL17*1000000000/('1a. Spredningsmodell input'!$B$45*1000)</f>
        <v>#VALUE!</v>
      </c>
      <c r="BP17" s="294" t="e">
        <f t="shared" si="3"/>
        <v>#VALUE!</v>
      </c>
      <c r="BQ17" s="294" t="e">
        <f>BL17*1000000000/('1a. Spredningsmodell input'!$B$45*1000)</f>
        <v>#VALUE!</v>
      </c>
      <c r="BR17" s="295">
        <f t="shared" si="16"/>
        <v>100</v>
      </c>
      <c r="BS17" s="290" t="e">
        <f>($D17-Stoff!$P17*$D17)*EXP(-($F17+Stoff!$L17*365)*BR17)</f>
        <v>#VALUE!</v>
      </c>
      <c r="BT17" s="291" t="e">
        <f>(Stoff!$P17*$D17)*EXP(-'1a. Spredningsmodell input'!$B$43*BR17)</f>
        <v>#VALUE!</v>
      </c>
      <c r="BU17" s="290" t="e">
        <f>($D17-Stoff!$P17*$D17-BS17)*($F17/($F17+Stoff!$L17*365))</f>
        <v>#VALUE!</v>
      </c>
      <c r="BV17" s="290" t="e">
        <f>(Stoff!$P17*$D17)-BT17</f>
        <v>#VALUE!</v>
      </c>
      <c r="BW17" s="290" t="e">
        <f>($O17+BU17)*EXP(-($N17+Stoff!$M17*365)*BR17)</f>
        <v>#VALUE!</v>
      </c>
      <c r="BX17" s="290" t="e">
        <f>(Stoff!$P17*$O17+BV17)*EXP(-('1a. Spredningsmodell input'!$B$46)*BR17)</f>
        <v>#VALUE!</v>
      </c>
      <c r="BY17" s="292" t="e">
        <f>((BW17+BX17)*1000000000)/('1a. Spredningsmodell input'!$B$45*1000)</f>
        <v>#VALUE!</v>
      </c>
      <c r="BZ17" s="294" t="e">
        <f>0.001*BY17/('1a. Spredningsmodell input'!$C$25+'1a. Spredningsmodell input'!$C$26/Mellomregninger!$K17)</f>
        <v>#VALUE!</v>
      </c>
      <c r="CA17" s="294" t="e">
        <f>1000*BZ17/$K17+BX17*1000000000/('1a. Spredningsmodell input'!$B$45*1000)</f>
        <v>#VALUE!</v>
      </c>
      <c r="CB17" s="294" t="e">
        <f t="shared" si="4"/>
        <v>#VALUE!</v>
      </c>
      <c r="CC17" s="294" t="e">
        <f>BX17*1000000000/('1a. Spredningsmodell input'!$B$45*1000)</f>
        <v>#VALUE!</v>
      </c>
      <c r="CD17" s="294" t="e">
        <f>V17+'1a. Spredningsmodell input'!$C$35</f>
        <v>#VALUE!</v>
      </c>
      <c r="CE17" s="294" t="e">
        <f>($S17+$Q17*($O17+$I17*($D17*(1-Stoff!$P17))*(1-EXP(-($F17+Stoff!$L17*365)*CD17)))*(1-EXP(-($N17+Stoff!$M17*365)*CD17)))</f>
        <v>#VALUE!</v>
      </c>
      <c r="CF17" s="294" t="e">
        <f t="shared" si="5"/>
        <v>#VALUE!</v>
      </c>
      <c r="CG17" s="296" t="e">
        <f>(CF17/1000000)*'1a. Spredningsmodell input'!$B$49*'1a. Spredningsmodell input'!$C$35</f>
        <v>#VALUE!</v>
      </c>
      <c r="CH17" s="294" t="e">
        <f t="shared" si="17"/>
        <v>#VALUE!</v>
      </c>
      <c r="CI17" s="290" t="e">
        <f>(CH17/1000000)*'1a. Spredningsmodell input'!$B$49*'1a. Spredningsmodell input'!$C$35</f>
        <v>#VALUE!</v>
      </c>
      <c r="CJ17" s="297" t="e">
        <f>($S17)*EXP(-(Stoff!$N17*365+$U17)*CD17)+CG17</f>
        <v>#VALUE!</v>
      </c>
      <c r="CK17" s="297" t="e">
        <f>(Stoff!$P17*$S17+CI17)*EXP(-$T17*CD17)</f>
        <v>#VALUE!</v>
      </c>
      <c r="CL17" s="297" t="e">
        <f>(CJ17+CK17)*1000000000/('1a. Spredningsmodell input'!$C$36*1000)</f>
        <v>#VALUE!</v>
      </c>
      <c r="CM17" s="297" t="e">
        <f>$G17*(1-EXP(-'1a. Spredningsmodell input'!$B$43*Mellomregninger!CD17))*(1-EXP(-'1a. Spredningsmodell input'!$B$46*Mellomregninger!CD17))</f>
        <v>#VALUE!</v>
      </c>
      <c r="CN17" s="297"/>
      <c r="CO17" s="297"/>
      <c r="CP17" s="290">
        <f>IF(ISNUMBER(AH17),AH17+'1a. Spredningsmodell input'!$C$35,'1a. Spredningsmodell input'!$C$35)</f>
        <v>1</v>
      </c>
      <c r="CQ17" s="294" t="e">
        <f>($S17+$Q17*($O17+$I17*($D17*(1-Stoff!$P17))*(1-EXP(-($F17+Stoff!$L17*365)*CP17)))*(1-EXP(-($N17+Stoff!$M17*365)*CP17)))</f>
        <v>#VALUE!</v>
      </c>
      <c r="CR17" s="294" t="e">
        <f t="shared" si="6"/>
        <v>#VALUE!</v>
      </c>
      <c r="CS17" s="296" t="e">
        <f>(CR17/1000000)*('1a. Spredningsmodell input'!$B$49*'1a. Spredningsmodell input'!$C$35)</f>
        <v>#VALUE!</v>
      </c>
      <c r="CT17" s="294" t="e">
        <f t="shared" si="7"/>
        <v>#VALUE!</v>
      </c>
      <c r="CU17" s="290" t="e">
        <f>(CT17/1000000)*('1a. Spredningsmodell input'!$B$49)*'1a. Spredningsmodell input'!$C$35</f>
        <v>#VALUE!</v>
      </c>
      <c r="CV17" s="297" t="e">
        <f>($S17)*EXP(-(Stoff!$N17*365+$U17)*CP17)+CS17</f>
        <v>#VALUE!</v>
      </c>
      <c r="CW17" s="297" t="e">
        <f>(Stoff!$P17*$S17+CU17)*EXP(-$T17*CP17)</f>
        <v>#VALUE!</v>
      </c>
      <c r="CX17" s="297">
        <f>IF(ISERROR(CV17),0,(CV17+CW17)*1000000000/('1a. Spredningsmodell input'!$C$36*1000))</f>
        <v>0</v>
      </c>
      <c r="CY17" s="297" t="e">
        <f>$G17*(1-EXP(-'1a. Spredningsmodell input'!$B$43*Mellomregninger!CP17))*(1-EXP(-'1a. Spredningsmodell input'!$B$46*Mellomregninger!CP17))</f>
        <v>#VALUE!</v>
      </c>
      <c r="CZ17" s="297"/>
      <c r="DA17" s="297"/>
      <c r="DB17" s="262">
        <f t="shared" si="18"/>
        <v>5</v>
      </c>
      <c r="DC17" s="298" t="e">
        <f>($S17+$Q17*($O17+$I17*($D17*(1-Stoff!$P17))*(1-EXP(-($F17+Stoff!$L17*365)*DB17)))*(1-EXP(-($N17+Stoff!$M17*365)*DB17)))</f>
        <v>#VALUE!</v>
      </c>
      <c r="DD17" s="294" t="e">
        <f t="shared" si="8"/>
        <v>#VALUE!</v>
      </c>
      <c r="DE17" s="296" t="e">
        <f>(DD17/1000000)*('1a. Spredningsmodell input'!$B$49)*'1a. Spredningsmodell input'!$C$35</f>
        <v>#VALUE!</v>
      </c>
      <c r="DF17" s="294" t="e">
        <f t="shared" si="19"/>
        <v>#VALUE!</v>
      </c>
      <c r="DG17" s="290" t="e">
        <f>(DF17/1000000)*('1a. Spredningsmodell input'!$B$49)*'1a. Spredningsmodell input'!$C$35</f>
        <v>#VALUE!</v>
      </c>
      <c r="DH17" s="297" t="e">
        <f>($S17)*EXP(-(Stoff!$N17*365+$U17)*DB17)+DE17</f>
        <v>#VALUE!</v>
      </c>
      <c r="DI17" s="297" t="e">
        <f>(Stoff!$P17*$S17+DG17)*EXP(-$T17*DB17)</f>
        <v>#VALUE!</v>
      </c>
      <c r="DJ17" s="297" t="e">
        <f>(DH17+DI17)*1000000000/('1a. Spredningsmodell input'!$C$36*1000)</f>
        <v>#VALUE!</v>
      </c>
      <c r="DK17" s="297" t="e">
        <f>$G17*(1-EXP(-'1a. Spredningsmodell input'!$B$43*Mellomregninger!DB17))*(1-EXP(-'1a. Spredningsmodell input'!$B$46*Mellomregninger!DB17))</f>
        <v>#VALUE!</v>
      </c>
      <c r="DL17" s="297"/>
      <c r="DM17" s="297"/>
      <c r="DN17" s="262">
        <f t="shared" si="20"/>
        <v>20</v>
      </c>
      <c r="DO17" s="298" t="e">
        <f>($S17+$Q17*($O17+$I17*($D17*(1-Stoff!$P17))*(1-EXP(-($F17+Stoff!$L17*365)*DN17)))*(1-EXP(-($N17+Stoff!$M17*365)*DN17)))</f>
        <v>#VALUE!</v>
      </c>
      <c r="DP17" s="294" t="e">
        <f t="shared" si="21"/>
        <v>#VALUE!</v>
      </c>
      <c r="DQ17" s="296" t="e">
        <f>(DP17/1000000)*('1a. Spredningsmodell input'!$B$49)*'1a. Spredningsmodell input'!$C$35</f>
        <v>#VALUE!</v>
      </c>
      <c r="DR17" s="294" t="e">
        <f t="shared" si="9"/>
        <v>#VALUE!</v>
      </c>
      <c r="DS17" s="290" t="e">
        <f>(DR17/1000000)*('1a. Spredningsmodell input'!$B$49)*'1a. Spredningsmodell input'!$C$35</f>
        <v>#VALUE!</v>
      </c>
      <c r="DT17" s="297" t="e">
        <f>($S17)*EXP(-(Stoff!$N17*365+$U17)*DN17)+DQ17</f>
        <v>#VALUE!</v>
      </c>
      <c r="DU17" s="297" t="e">
        <f>(Stoff!$P17*$S17+DS17)*EXP(-$T17*DN17)</f>
        <v>#VALUE!</v>
      </c>
      <c r="DV17" s="297" t="e">
        <f>(DT17+DU17)*1000000000/('1a. Spredningsmodell input'!$C$36*1000)</f>
        <v>#VALUE!</v>
      </c>
      <c r="DW17" s="297" t="e">
        <f>$G17*(1-EXP(-'1a. Spredningsmodell input'!$B$43*Mellomregninger!DN17))*(1-EXP(-'1a. Spredningsmodell input'!$B$46*Mellomregninger!DN17))</f>
        <v>#VALUE!</v>
      </c>
      <c r="DX17" s="297"/>
      <c r="DY17" s="297"/>
      <c r="DZ17" s="262">
        <f t="shared" si="22"/>
        <v>100</v>
      </c>
      <c r="EA17" s="298" t="e">
        <f>($S17+$Q17*($O17+$I17*($D17*(1-Stoff!$P17))*(1-EXP(-($F17+Stoff!$L17*365)*DZ17)))*(1-EXP(-($N17+Stoff!$M17*365)*DZ17)))</f>
        <v>#VALUE!</v>
      </c>
      <c r="EB17" s="294" t="e">
        <f t="shared" si="10"/>
        <v>#VALUE!</v>
      </c>
      <c r="EC17" s="296" t="e">
        <f>(EB17/1000000)*('1a. Spredningsmodell input'!$B$49)*'1a. Spredningsmodell input'!$C$35</f>
        <v>#VALUE!</v>
      </c>
      <c r="ED17" s="294" t="e">
        <f t="shared" si="11"/>
        <v>#VALUE!</v>
      </c>
      <c r="EE17" s="290" t="e">
        <f>(ED17/1000000)*('1a. Spredningsmodell input'!$B$49)*'1a. Spredningsmodell input'!$C$35</f>
        <v>#VALUE!</v>
      </c>
      <c r="EF17" s="297" t="e">
        <f>($S17)*EXP(-(Stoff!$N17*365+$U17)*DZ17)+EC17</f>
        <v>#VALUE!</v>
      </c>
      <c r="EG17" s="297" t="e">
        <f>(Stoff!$P17*$S17+EE17)*EXP(-$T17*DZ17)</f>
        <v>#VALUE!</v>
      </c>
      <c r="EH17" s="297" t="e">
        <f>(EF17+EG17)*1000000000/('1a. Spredningsmodell input'!$C$36*1000)</f>
        <v>#VALUE!</v>
      </c>
      <c r="EI17" s="297" t="e">
        <f>$G17*(1-EXP(-'1a. Spredningsmodell input'!$B$43*Mellomregninger!DZ17))*(1-EXP(-'1a. Spredningsmodell input'!$B$46*Mellomregninger!DZ17))</f>
        <v>#VALUE!</v>
      </c>
      <c r="EJ17" s="297"/>
      <c r="EK17" s="297"/>
      <c r="EL17" s="262">
        <f t="shared" si="23"/>
        <v>1.0000000000000001E+25</v>
      </c>
      <c r="EM17" s="294" t="e">
        <f>($S17+$Q17*($O17+$I17*($D17*(1-Stoff!$P17))*(1-EXP(-($F17+Stoff!$L17*365)*EL17)))*(1-EXP(-($N17+Stoff!$M17*365)*EL17)))</f>
        <v>#VALUE!</v>
      </c>
      <c r="EN17" s="296" t="e">
        <f>($S17+$Q17*($O17+$I17*($D17*(1-Stoff!$P17))*(1-EXP(-($F17+Stoff!$L17*365)*(EL17-'1a. Spredningsmodell input'!$C$35))))*(1-EXP(-($N17+Stoff!$M17*365)*(EL17-'1a. Spredningsmodell input'!$C$35))))</f>
        <v>#VALUE!</v>
      </c>
      <c r="EO17" s="294" t="e">
        <f>IF(EL17&lt;'1a. Spredningsmodell input'!$C$35,EM17-($S17)*EXP(-(Stoff!$N17*365+$U17)*EL17),EM17-EN17)</f>
        <v>#VALUE!</v>
      </c>
      <c r="EP17" s="290" t="e">
        <f>((($D17*(Stoff!$P17))*(1-EXP(-'1a. Spredningsmodell input'!$B$43*EL17)))*(1-EXP(-'1a. Spredningsmodell input'!$B$46*EL17)))</f>
        <v>#VALUE!</v>
      </c>
      <c r="EQ17" s="294" t="e">
        <f>((($D17*(Stoff!$P17))*(1-EXP(-'1a. Spredningsmodell input'!$B$43*(EL17-'1a. Spredningsmodell input'!$C$35))))*(1-EXP(-'1a. Spredningsmodell input'!$B$46*(EL17-'1a. Spredningsmodell input'!$C$35))))</f>
        <v>#VALUE!</v>
      </c>
      <c r="ER17" s="290" t="e">
        <f>IF(EL17&lt;'1a. Spredningsmodell input'!$C$35,0,EP17-EQ17)</f>
        <v>#VALUE!</v>
      </c>
      <c r="ES17" s="297" t="e">
        <f>($S17)*EXP(-(Stoff!$N17*365+$U17)*EL17)+EO17</f>
        <v>#VALUE!</v>
      </c>
      <c r="ET17" s="297" t="e">
        <f>(Stoff!$P17*$S17+ER17)*EXP(-$T17*EL17)</f>
        <v>#VALUE!</v>
      </c>
      <c r="EU17" s="297" t="e">
        <f>(ES17+ET17)*1000000000/('1a. Spredningsmodell input'!$C$36*1000)</f>
        <v>#VALUE!</v>
      </c>
      <c r="EV17" s="262" t="e">
        <f t="shared" si="12"/>
        <v>#VALUE!</v>
      </c>
      <c r="EW17" s="299" t="e">
        <f t="shared" si="13"/>
        <v>#VALUE!</v>
      </c>
      <c r="EX17" s="262" t="e">
        <f t="shared" si="24"/>
        <v>#VALUE!</v>
      </c>
    </row>
    <row r="18" spans="1:154" x14ac:dyDescent="0.35">
      <c r="A18" s="50" t="s">
        <v>192</v>
      </c>
      <c r="B18" s="34" t="str">
        <f>IF(ISNUMBER('1c. Kons. porevann'!E18),1000*'1c. Kons. porevann'!E18,IF(ISNUMBER('1b. Kons. umettet jord'!E18),1000*'1b. Kons. umettet jord'!E18/C18,""))</f>
        <v/>
      </c>
      <c r="C18" s="244">
        <f>IF(Stoff!B18="uorganisk",Stoff!C18,Stoff!D18*'1a. Spredningsmodell input'!$C$11)</f>
        <v>3.98</v>
      </c>
      <c r="D18" s="34" t="str">
        <f>IF(ISNUMBER(B18),0.000001*('1b. Kons. umettet jord'!G18*'1a. Spredningsmodell input'!$C$12+B18*0.001*'1a. Spredningsmodell input'!$C$14)*1000*'1a. Spredningsmodell input'!$B$41*'1a. Spredningsmodell input'!$C$18,"")</f>
        <v/>
      </c>
      <c r="E18" s="283">
        <f>C18*'1a. Spredningsmodell input'!$C$12/'1a. Spredningsmodell input'!$C$14+1</f>
        <v>34.83</v>
      </c>
      <c r="F18" s="284">
        <f>'1a. Spredningsmodell input'!$B$43/E18</f>
        <v>4.3066322136089574E-2</v>
      </c>
      <c r="G18" s="34" t="e">
        <f>Stoff!P18*Mellomregninger!D18</f>
        <v>#VALUE!</v>
      </c>
      <c r="H18" s="283" t="e">
        <f>(D18-G18)*(F18/(F18+Stoff!L18))</f>
        <v>#VALUE!</v>
      </c>
      <c r="I18" s="283">
        <f>F18/(F18+Stoff!L18)</f>
        <v>1</v>
      </c>
      <c r="J18" s="285" t="str">
        <f>IF(B18="","",IF(ISNUMBER('1d. Kons. mettet sone'!E18),'1d. Kons. mettet sone'!E18,IF(ISNUMBER('1e. Kons. grunnvann'!E18),'1e. Kons. grunnvann'!E18*Mellomregninger!K18,0)))</f>
        <v/>
      </c>
      <c r="K18" s="286">
        <f>IF(Stoff!B18="uorganisk",Stoff!C18,Stoff!D18*'1a. Spredningsmodell input'!$C$24)</f>
        <v>0.39800000000000002</v>
      </c>
      <c r="L18" s="27" t="e">
        <f>IF(ISNUMBER('1e. Kons. grunnvann'!E18),1000*'1e. Kons. grunnvann'!E18,1000*J18/K18)</f>
        <v>#VALUE!</v>
      </c>
      <c r="M18" s="34">
        <f>K18*'1a. Spredningsmodell input'!$C$25/'1a. Spredningsmodell input'!$C$26+1</f>
        <v>2.6914999999999996</v>
      </c>
      <c r="N18" s="284">
        <f>'1a. Spredningsmodell input'!$C$26/M18</f>
        <v>0.14861601337544122</v>
      </c>
      <c r="O18" s="287" t="e">
        <f>0.000000001*(J18*'1a. Spredningsmodell input'!$C$25+L18)*1000*'1a. Spredningsmodell input'!$B$45</f>
        <v>#VALUE!</v>
      </c>
      <c r="P18" s="287" t="e">
        <f>O18*Stoff!P18</f>
        <v>#VALUE!</v>
      </c>
      <c r="Q18" s="287">
        <f>N18/(N18+Stoff!M18)</f>
        <v>1</v>
      </c>
      <c r="R18" s="288">
        <f>IF(ISNUMBER('1f. Kons. resipient'!E18),'1f. Kons. resipient'!E18,0)</f>
        <v>0</v>
      </c>
      <c r="S18" s="288">
        <f>0.000000001*'1a. Spredningsmodell input'!$C$36*R18*1000</f>
        <v>0</v>
      </c>
      <c r="T18" s="288">
        <f>1/'1a. Spredningsmodell input'!$C$35</f>
        <v>1</v>
      </c>
      <c r="U18" s="288">
        <f>1/'1a. Spredningsmodell input'!$C$35</f>
        <v>1</v>
      </c>
      <c r="V18" s="300" t="e">
        <f>(1/($N18+Stoff!$L18))*(LN(($D18*$I18/($D18*$I18+$J18))*($F18+Stoff!$L18+$N18+Stoff!$M18)/($N18+Stoff!$M18)))</f>
        <v>#VALUE!</v>
      </c>
      <c r="W18" s="290" t="e">
        <f>($D18-Stoff!$P18*$D18)*EXP(-($F18+Stoff!$L18*365)*V18)</f>
        <v>#VALUE!</v>
      </c>
      <c r="X18" s="291" t="e">
        <f>(Stoff!$P18*$D18)*EXP(-'1a. Spredningsmodell input'!$B$43*V18)</f>
        <v>#VALUE!</v>
      </c>
      <c r="Y18" s="290" t="e">
        <f>($D18-Stoff!$P18*$D18-W18)*($F18/($F18+Stoff!$L18*365))</f>
        <v>#VALUE!</v>
      </c>
      <c r="Z18" s="290" t="e">
        <f>(Stoff!$P18*$D18)-X18</f>
        <v>#VALUE!</v>
      </c>
      <c r="AA18" s="290" t="e">
        <f>($O18+Y18)*EXP(-($N18+Stoff!$M18*365)*V18)</f>
        <v>#VALUE!</v>
      </c>
      <c r="AB18" s="290" t="e">
        <f>(Stoff!$P18*$O18+Z18)*EXP(-('1a. Spredningsmodell input'!$B$46)*V18)</f>
        <v>#VALUE!</v>
      </c>
      <c r="AC18" s="292" t="e">
        <f>((AA18+AB18)*1000000000)/('1a. Spredningsmodell input'!$B$45*1000)</f>
        <v>#VALUE!</v>
      </c>
      <c r="AD18" s="294" t="e">
        <f>0.001*AC18/('1a. Spredningsmodell input'!$C$25+'1a. Spredningsmodell input'!$C$26/Mellomregninger!$K18)</f>
        <v>#VALUE!</v>
      </c>
      <c r="AE18" s="294" t="e">
        <f>1000*AD18/$K18+AB18*1000000000/('1a. Spredningsmodell input'!$B$45*1000)</f>
        <v>#VALUE!</v>
      </c>
      <c r="AF18" s="294" t="e">
        <f t="shared" si="0"/>
        <v>#VALUE!</v>
      </c>
      <c r="AG18" s="294" t="e">
        <f>AB18*1000000000/('1a. Spredningsmodell input'!$B$45*1000)</f>
        <v>#VALUE!</v>
      </c>
      <c r="AH18" s="300" t="e">
        <f>(1/('1a. Spredningsmodell input'!$B$46))*(LN(($D18*Stoff!$P18/($D18*Stoff!$P18+$P18*Stoff!$P18))*('1a. Spredningsmodell input'!$B$43+'1a. Spredningsmodell input'!$B$46)/('1a. Spredningsmodell input'!$B$46)))</f>
        <v>#VALUE!</v>
      </c>
      <c r="AI18" s="290" t="e">
        <f>($D18-Stoff!$P18*$D18)*EXP(-($F18+Stoff!$L18*365)*AH18)</f>
        <v>#VALUE!</v>
      </c>
      <c r="AJ18" s="291" t="e">
        <f>(Stoff!$P18*$D18)*EXP(-'1a. Spredningsmodell input'!$B$43*AH18)</f>
        <v>#VALUE!</v>
      </c>
      <c r="AK18" s="290" t="e">
        <f>($D18-Stoff!$P18*$D18-AI18)*($F18/($F18+Stoff!$L18*365))</f>
        <v>#VALUE!</v>
      </c>
      <c r="AL18" s="290" t="e">
        <f>(Stoff!$P18*$D18)-AJ18</f>
        <v>#VALUE!</v>
      </c>
      <c r="AM18" s="290" t="e">
        <f>($O18+AK18)*EXP(-($N18+Stoff!$M18*365)*AH18)</f>
        <v>#VALUE!</v>
      </c>
      <c r="AN18" s="290" t="e">
        <f>(Stoff!$P18*$O18+AL18)*EXP(-('1a. Spredningsmodell input'!$B$46)*AH18)</f>
        <v>#VALUE!</v>
      </c>
      <c r="AO18" s="292" t="e">
        <f>((AM18+AN18)*1000000000)/('1a. Spredningsmodell input'!$B$45*1000)</f>
        <v>#VALUE!</v>
      </c>
      <c r="AP18" s="294" t="e">
        <f>0.001*AO18/('1a. Spredningsmodell input'!$C$25+'1a. Spredningsmodell input'!$C$26/Mellomregninger!$K18)</f>
        <v>#VALUE!</v>
      </c>
      <c r="AQ18" s="294" t="e">
        <f>1000*AP18/$K18+AN18*1000000000/('1a. Spredningsmodell input'!$B$45*1000)</f>
        <v>#VALUE!</v>
      </c>
      <c r="AR18" s="294" t="e">
        <f t="shared" si="1"/>
        <v>#VALUE!</v>
      </c>
      <c r="AS18" s="294" t="e">
        <f>AN18*1000000000/('1a. Spredningsmodell input'!$B$45*1000)</f>
        <v>#VALUE!</v>
      </c>
      <c r="AT18" s="295">
        <f t="shared" si="14"/>
        <v>5</v>
      </c>
      <c r="AU18" s="290" t="e">
        <f>($D18-Stoff!$P18*$D18)*EXP(-($F18+Stoff!$L18*365)*AT18)</f>
        <v>#VALUE!</v>
      </c>
      <c r="AV18" s="291" t="e">
        <f>(Stoff!$P18*$D18)*EXP(-'1a. Spredningsmodell input'!$B$43*AT18)</f>
        <v>#VALUE!</v>
      </c>
      <c r="AW18" s="290" t="e">
        <f>($D18-Stoff!$P18*$D18-AU18)*($F18/($F18+Stoff!$L18*365))</f>
        <v>#VALUE!</v>
      </c>
      <c r="AX18" s="290" t="e">
        <f>(Stoff!$P18*$D18)-AV18</f>
        <v>#VALUE!</v>
      </c>
      <c r="AY18" s="290" t="e">
        <f>($O18+AW18)*EXP(-($N18+Stoff!$M18*365)*AT18)</f>
        <v>#VALUE!</v>
      </c>
      <c r="AZ18" s="290" t="e">
        <f>(Stoff!$P18*$O18+AX18)*EXP(-('1a. Spredningsmodell input'!$B$46)*AT18)</f>
        <v>#VALUE!</v>
      </c>
      <c r="BA18" s="292" t="e">
        <f>((AY18+AZ18)*1000000000)/('1a. Spredningsmodell input'!$B$45*1000)</f>
        <v>#VALUE!</v>
      </c>
      <c r="BB18" s="294" t="e">
        <f>0.001*BA18/('1a. Spredningsmodell input'!$C$25+'1a. Spredningsmodell input'!$C$26/Mellomregninger!$K18)</f>
        <v>#VALUE!</v>
      </c>
      <c r="BC18" s="294" t="e">
        <f>1000*BB18/$K18+AZ18*1000000000/('1a. Spredningsmodell input'!$B$45*1000)</f>
        <v>#VALUE!</v>
      </c>
      <c r="BD18" s="294" t="e">
        <f t="shared" si="2"/>
        <v>#VALUE!</v>
      </c>
      <c r="BE18" s="294" t="e">
        <f>AZ18*1000000000/('1a. Spredningsmodell input'!$B$45*1000)</f>
        <v>#VALUE!</v>
      </c>
      <c r="BF18" s="295">
        <f t="shared" si="15"/>
        <v>20</v>
      </c>
      <c r="BG18" s="290" t="e">
        <f>($D18-Stoff!$P18*$D18)*EXP(-($F18+Stoff!$L18*365)*BF18)</f>
        <v>#VALUE!</v>
      </c>
      <c r="BH18" s="291" t="e">
        <f>(Stoff!$P18*$D18)*EXP(-'1a. Spredningsmodell input'!$B$43*BF18)</f>
        <v>#VALUE!</v>
      </c>
      <c r="BI18" s="290" t="e">
        <f>($D18-Stoff!$P18*$D18-BG18)*($F18/($F18+Stoff!$L18*365))</f>
        <v>#VALUE!</v>
      </c>
      <c r="BJ18" s="290" t="e">
        <f>(Stoff!$P18*$D18)-BH18</f>
        <v>#VALUE!</v>
      </c>
      <c r="BK18" s="290" t="e">
        <f>($O18+BI18)*EXP(-($N18+Stoff!$M18*365)*BF18)</f>
        <v>#VALUE!</v>
      </c>
      <c r="BL18" s="290" t="e">
        <f>(Stoff!$P18*$O18+BJ18)*EXP(-('1a. Spredningsmodell input'!$B$46)*BF18)</f>
        <v>#VALUE!</v>
      </c>
      <c r="BM18" s="292" t="e">
        <f>((BK18+BL18)*1000000000)/('1a. Spredningsmodell input'!$B$45*1000)</f>
        <v>#VALUE!</v>
      </c>
      <c r="BN18" s="294" t="e">
        <f>0.001*BM18/('1a. Spredningsmodell input'!$C$25+'1a. Spredningsmodell input'!$C$26/Mellomregninger!$K18)</f>
        <v>#VALUE!</v>
      </c>
      <c r="BO18" s="294" t="e">
        <f>1000*BN18/$K18+BL18*1000000000/('1a. Spredningsmodell input'!$B$45*1000)</f>
        <v>#VALUE!</v>
      </c>
      <c r="BP18" s="294" t="e">
        <f t="shared" si="3"/>
        <v>#VALUE!</v>
      </c>
      <c r="BQ18" s="294" t="e">
        <f>BL18*1000000000/('1a. Spredningsmodell input'!$B$45*1000)</f>
        <v>#VALUE!</v>
      </c>
      <c r="BR18" s="295">
        <f t="shared" si="16"/>
        <v>100</v>
      </c>
      <c r="BS18" s="290" t="e">
        <f>($D18-Stoff!$P18*$D18)*EXP(-($F18+Stoff!$L18*365)*BR18)</f>
        <v>#VALUE!</v>
      </c>
      <c r="BT18" s="291" t="e">
        <f>(Stoff!$P18*$D18)*EXP(-'1a. Spredningsmodell input'!$B$43*BR18)</f>
        <v>#VALUE!</v>
      </c>
      <c r="BU18" s="290" t="e">
        <f>($D18-Stoff!$P18*$D18-BS18)*($F18/($F18+Stoff!$L18*365))</f>
        <v>#VALUE!</v>
      </c>
      <c r="BV18" s="290" t="e">
        <f>(Stoff!$P18*$D18)-BT18</f>
        <v>#VALUE!</v>
      </c>
      <c r="BW18" s="290" t="e">
        <f>($O18+BU18)*EXP(-($N18+Stoff!$M18*365)*BR18)</f>
        <v>#VALUE!</v>
      </c>
      <c r="BX18" s="290" t="e">
        <f>(Stoff!$P18*$O18+BV18)*EXP(-('1a. Spredningsmodell input'!$B$46)*BR18)</f>
        <v>#VALUE!</v>
      </c>
      <c r="BY18" s="292" t="e">
        <f>((BW18+BX18)*1000000000)/('1a. Spredningsmodell input'!$B$45*1000)</f>
        <v>#VALUE!</v>
      </c>
      <c r="BZ18" s="294" t="e">
        <f>0.001*BY18/('1a. Spredningsmodell input'!$C$25+'1a. Spredningsmodell input'!$C$26/Mellomregninger!$K18)</f>
        <v>#VALUE!</v>
      </c>
      <c r="CA18" s="294" t="e">
        <f>1000*BZ18/$K18+BX18*1000000000/('1a. Spredningsmodell input'!$B$45*1000)</f>
        <v>#VALUE!</v>
      </c>
      <c r="CB18" s="294" t="e">
        <f t="shared" si="4"/>
        <v>#VALUE!</v>
      </c>
      <c r="CC18" s="294" t="e">
        <f>BX18*1000000000/('1a. Spredningsmodell input'!$B$45*1000)</f>
        <v>#VALUE!</v>
      </c>
      <c r="CD18" s="294" t="e">
        <f>V18+'1a. Spredningsmodell input'!$C$35</f>
        <v>#VALUE!</v>
      </c>
      <c r="CE18" s="294" t="e">
        <f>($S18+$Q18*($O18+$I18*($D18*(1-Stoff!$P18))*(1-EXP(-($F18+Stoff!$L18*365)*CD18)))*(1-EXP(-($N18+Stoff!$M18*365)*CD18)))</f>
        <v>#VALUE!</v>
      </c>
      <c r="CF18" s="294" t="e">
        <f t="shared" si="5"/>
        <v>#VALUE!</v>
      </c>
      <c r="CG18" s="296" t="e">
        <f>(CF18/1000000)*'1a. Spredningsmodell input'!$B$49*'1a. Spredningsmodell input'!$C$35</f>
        <v>#VALUE!</v>
      </c>
      <c r="CH18" s="294" t="e">
        <f t="shared" si="17"/>
        <v>#VALUE!</v>
      </c>
      <c r="CI18" s="290" t="e">
        <f>(CH18/1000000)*'1a. Spredningsmodell input'!$B$49*'1a. Spredningsmodell input'!$C$35</f>
        <v>#VALUE!</v>
      </c>
      <c r="CJ18" s="297" t="e">
        <f>($S18)*EXP(-(Stoff!$N18*365+$U18)*CD18)+CG18</f>
        <v>#VALUE!</v>
      </c>
      <c r="CK18" s="297" t="e">
        <f>(Stoff!$P18*$S18+CI18)*EXP(-$T18*CD18)</f>
        <v>#VALUE!</v>
      </c>
      <c r="CL18" s="297" t="e">
        <f>(CJ18+CK18)*1000000000/('1a. Spredningsmodell input'!$C$36*1000)</f>
        <v>#VALUE!</v>
      </c>
      <c r="CM18" s="297" t="e">
        <f>$G18*(1-EXP(-'1a. Spredningsmodell input'!$B$43*Mellomregninger!CD18))*(1-EXP(-'1a. Spredningsmodell input'!$B$46*Mellomregninger!CD18))</f>
        <v>#VALUE!</v>
      </c>
      <c r="CN18" s="297"/>
      <c r="CO18" s="297"/>
      <c r="CP18" s="290">
        <f>IF(ISNUMBER(AH18),AH18+'1a. Spredningsmodell input'!$C$35,'1a. Spredningsmodell input'!$C$35)</f>
        <v>1</v>
      </c>
      <c r="CQ18" s="294" t="e">
        <f>($S18+$Q18*($O18+$I18*($D18*(1-Stoff!$P18))*(1-EXP(-($F18+Stoff!$L18*365)*CP18)))*(1-EXP(-($N18+Stoff!$M18*365)*CP18)))</f>
        <v>#VALUE!</v>
      </c>
      <c r="CR18" s="294" t="e">
        <f t="shared" si="6"/>
        <v>#VALUE!</v>
      </c>
      <c r="CS18" s="296" t="e">
        <f>(CR18/1000000)*('1a. Spredningsmodell input'!$B$49*'1a. Spredningsmodell input'!$C$35)</f>
        <v>#VALUE!</v>
      </c>
      <c r="CT18" s="294" t="e">
        <f t="shared" si="7"/>
        <v>#VALUE!</v>
      </c>
      <c r="CU18" s="290" t="e">
        <f>(CT18/1000000)*('1a. Spredningsmodell input'!$B$49)*'1a. Spredningsmodell input'!$C$35</f>
        <v>#VALUE!</v>
      </c>
      <c r="CV18" s="297" t="e">
        <f>($S18)*EXP(-(Stoff!$N18*365+$U18)*CP18)+CS18</f>
        <v>#VALUE!</v>
      </c>
      <c r="CW18" s="297" t="e">
        <f>(Stoff!$P18*$S18+CU18)*EXP(-$T18*CP18)</f>
        <v>#VALUE!</v>
      </c>
      <c r="CX18" s="297">
        <f>IF(ISERROR(CV18),0,(CV18+CW18)*1000000000/('1a. Spredningsmodell input'!$C$36*1000))</f>
        <v>0</v>
      </c>
      <c r="CY18" s="297" t="e">
        <f>$G18*(1-EXP(-'1a. Spredningsmodell input'!$B$43*Mellomregninger!CP18))*(1-EXP(-'1a. Spredningsmodell input'!$B$46*Mellomregninger!CP18))</f>
        <v>#VALUE!</v>
      </c>
      <c r="CZ18" s="297"/>
      <c r="DA18" s="297"/>
      <c r="DB18" s="262">
        <f t="shared" si="18"/>
        <v>5</v>
      </c>
      <c r="DC18" s="298" t="e">
        <f>($S18+$Q18*($O18+$I18*($D18*(1-Stoff!$P18))*(1-EXP(-($F18+Stoff!$L18*365)*DB18)))*(1-EXP(-($N18+Stoff!$M18*365)*DB18)))</f>
        <v>#VALUE!</v>
      </c>
      <c r="DD18" s="294" t="e">
        <f t="shared" si="8"/>
        <v>#VALUE!</v>
      </c>
      <c r="DE18" s="296" t="e">
        <f>(DD18/1000000)*('1a. Spredningsmodell input'!$B$49)*'1a. Spredningsmodell input'!$C$35</f>
        <v>#VALUE!</v>
      </c>
      <c r="DF18" s="294" t="e">
        <f t="shared" si="19"/>
        <v>#VALUE!</v>
      </c>
      <c r="DG18" s="290" t="e">
        <f>(DF18/1000000)*('1a. Spredningsmodell input'!$B$49)*'1a. Spredningsmodell input'!$C$35</f>
        <v>#VALUE!</v>
      </c>
      <c r="DH18" s="297" t="e">
        <f>($S18)*EXP(-(Stoff!$N18*365+$U18)*DB18)+DE18</f>
        <v>#VALUE!</v>
      </c>
      <c r="DI18" s="297" t="e">
        <f>(Stoff!$P18*$S18+DG18)*EXP(-$T18*DB18)</f>
        <v>#VALUE!</v>
      </c>
      <c r="DJ18" s="297" t="e">
        <f>(DH18+DI18)*1000000000/('1a. Spredningsmodell input'!$C$36*1000)</f>
        <v>#VALUE!</v>
      </c>
      <c r="DK18" s="297" t="e">
        <f>$G18*(1-EXP(-'1a. Spredningsmodell input'!$B$43*Mellomregninger!DB18))*(1-EXP(-'1a. Spredningsmodell input'!$B$46*Mellomregninger!DB18))</f>
        <v>#VALUE!</v>
      </c>
      <c r="DL18" s="297"/>
      <c r="DM18" s="297"/>
      <c r="DN18" s="262">
        <f t="shared" si="20"/>
        <v>20</v>
      </c>
      <c r="DO18" s="298" t="e">
        <f>($S18+$Q18*($O18+$I18*($D18*(1-Stoff!$P18))*(1-EXP(-($F18+Stoff!$L18*365)*DN18)))*(1-EXP(-($N18+Stoff!$M18*365)*DN18)))</f>
        <v>#VALUE!</v>
      </c>
      <c r="DP18" s="294" t="e">
        <f t="shared" si="21"/>
        <v>#VALUE!</v>
      </c>
      <c r="DQ18" s="296" t="e">
        <f>(DP18/1000000)*('1a. Spredningsmodell input'!$B$49)*'1a. Spredningsmodell input'!$C$35</f>
        <v>#VALUE!</v>
      </c>
      <c r="DR18" s="294" t="e">
        <f t="shared" si="9"/>
        <v>#VALUE!</v>
      </c>
      <c r="DS18" s="290" t="e">
        <f>(DR18/1000000)*('1a. Spredningsmodell input'!$B$49)*'1a. Spredningsmodell input'!$C$35</f>
        <v>#VALUE!</v>
      </c>
      <c r="DT18" s="297" t="e">
        <f>($S18)*EXP(-(Stoff!$N18*365+$U18)*DN18)+DQ18</f>
        <v>#VALUE!</v>
      </c>
      <c r="DU18" s="297" t="e">
        <f>(Stoff!$P18*$S18+DS18)*EXP(-$T18*DN18)</f>
        <v>#VALUE!</v>
      </c>
      <c r="DV18" s="297" t="e">
        <f>(DT18+DU18)*1000000000/('1a. Spredningsmodell input'!$C$36*1000)</f>
        <v>#VALUE!</v>
      </c>
      <c r="DW18" s="297" t="e">
        <f>$G18*(1-EXP(-'1a. Spredningsmodell input'!$B$43*Mellomregninger!DN18))*(1-EXP(-'1a. Spredningsmodell input'!$B$46*Mellomregninger!DN18))</f>
        <v>#VALUE!</v>
      </c>
      <c r="DX18" s="297"/>
      <c r="DY18" s="297"/>
      <c r="DZ18" s="262">
        <f t="shared" si="22"/>
        <v>100</v>
      </c>
      <c r="EA18" s="298" t="e">
        <f>($S18+$Q18*($O18+$I18*($D18*(1-Stoff!$P18))*(1-EXP(-($F18+Stoff!$L18*365)*DZ18)))*(1-EXP(-($N18+Stoff!$M18*365)*DZ18)))</f>
        <v>#VALUE!</v>
      </c>
      <c r="EB18" s="294" t="e">
        <f t="shared" si="10"/>
        <v>#VALUE!</v>
      </c>
      <c r="EC18" s="296" t="e">
        <f>(EB18/1000000)*('1a. Spredningsmodell input'!$B$49)*'1a. Spredningsmodell input'!$C$35</f>
        <v>#VALUE!</v>
      </c>
      <c r="ED18" s="294" t="e">
        <f t="shared" si="11"/>
        <v>#VALUE!</v>
      </c>
      <c r="EE18" s="290" t="e">
        <f>(ED18/1000000)*('1a. Spredningsmodell input'!$B$49)*'1a. Spredningsmodell input'!$C$35</f>
        <v>#VALUE!</v>
      </c>
      <c r="EF18" s="297" t="e">
        <f>($S18)*EXP(-(Stoff!$N18*365+$U18)*DZ18)+EC18</f>
        <v>#VALUE!</v>
      </c>
      <c r="EG18" s="297" t="e">
        <f>(Stoff!$P18*$S18+EE18)*EXP(-$T18*DZ18)</f>
        <v>#VALUE!</v>
      </c>
      <c r="EH18" s="297" t="e">
        <f>(EF18+EG18)*1000000000/('1a. Spredningsmodell input'!$C$36*1000)</f>
        <v>#VALUE!</v>
      </c>
      <c r="EI18" s="297" t="e">
        <f>$G18*(1-EXP(-'1a. Spredningsmodell input'!$B$43*Mellomregninger!DZ18))*(1-EXP(-'1a. Spredningsmodell input'!$B$46*Mellomregninger!DZ18))</f>
        <v>#VALUE!</v>
      </c>
      <c r="EJ18" s="297"/>
      <c r="EK18" s="297"/>
      <c r="EL18" s="262">
        <f t="shared" si="23"/>
        <v>1.0000000000000001E+25</v>
      </c>
      <c r="EM18" s="294" t="e">
        <f>($S18+$Q18*($O18+$I18*($D18*(1-Stoff!$P18))*(1-EXP(-($F18+Stoff!$L18*365)*EL18)))*(1-EXP(-($N18+Stoff!$M18*365)*EL18)))</f>
        <v>#VALUE!</v>
      </c>
      <c r="EN18" s="296" t="e">
        <f>($S18+$Q18*($O18+$I18*($D18*(1-Stoff!$P18))*(1-EXP(-($F18+Stoff!$L18*365)*(EL18-'1a. Spredningsmodell input'!$C$35))))*(1-EXP(-($N18+Stoff!$M18*365)*(EL18-'1a. Spredningsmodell input'!$C$35))))</f>
        <v>#VALUE!</v>
      </c>
      <c r="EO18" s="294" t="e">
        <f>IF(EL18&lt;'1a. Spredningsmodell input'!$C$35,EM18-($S18)*EXP(-(Stoff!$N18*365+$U18)*EL18),EM18-EN18)</f>
        <v>#VALUE!</v>
      </c>
      <c r="EP18" s="290" t="e">
        <f>((($D18*(Stoff!$P18))*(1-EXP(-'1a. Spredningsmodell input'!$B$43*EL18)))*(1-EXP(-'1a. Spredningsmodell input'!$B$46*EL18)))</f>
        <v>#VALUE!</v>
      </c>
      <c r="EQ18" s="294" t="e">
        <f>((($D18*(Stoff!$P18))*(1-EXP(-'1a. Spredningsmodell input'!$B$43*(EL18-'1a. Spredningsmodell input'!$C$35))))*(1-EXP(-'1a. Spredningsmodell input'!$B$46*(EL18-'1a. Spredningsmodell input'!$C$35))))</f>
        <v>#VALUE!</v>
      </c>
      <c r="ER18" s="290" t="e">
        <f>IF(EL18&lt;'1a. Spredningsmodell input'!$C$35,0,EP18-EQ18)</f>
        <v>#VALUE!</v>
      </c>
      <c r="ES18" s="297" t="e">
        <f>($S18)*EXP(-(Stoff!$N18*365+$U18)*EL18)+EO18</f>
        <v>#VALUE!</v>
      </c>
      <c r="ET18" s="297" t="e">
        <f>(Stoff!$P18*$S18+ER18)*EXP(-$T18*EL18)</f>
        <v>#VALUE!</v>
      </c>
      <c r="EU18" s="297" t="e">
        <f>(ES18+ET18)*1000000000/('1a. Spredningsmodell input'!$C$36*1000)</f>
        <v>#VALUE!</v>
      </c>
      <c r="EV18" s="262" t="e">
        <f t="shared" si="12"/>
        <v>#VALUE!</v>
      </c>
      <c r="EW18" s="299" t="e">
        <f t="shared" si="13"/>
        <v>#VALUE!</v>
      </c>
      <c r="EX18" s="262" t="e">
        <f t="shared" si="24"/>
        <v>#VALUE!</v>
      </c>
    </row>
    <row r="19" spans="1:154" x14ac:dyDescent="0.35">
      <c r="A19" s="50" t="s">
        <v>191</v>
      </c>
      <c r="B19" s="34" t="str">
        <f>IF(ISNUMBER('1c. Kons. porevann'!E19),1000*'1c. Kons. porevann'!E19,IF(ISNUMBER('1b. Kons. umettet jord'!E19),1000*'1b. Kons. umettet jord'!E19/C19,""))</f>
        <v/>
      </c>
      <c r="C19" s="244">
        <f>IF(Stoff!B19="uorganisk",Stoff!C19,Stoff!D19*'1a. Spredningsmodell input'!$C$11)</f>
        <v>3.98</v>
      </c>
      <c r="D19" s="34" t="str">
        <f>IF(ISNUMBER(B19),0.000001*('1b. Kons. umettet jord'!G19*'1a. Spredningsmodell input'!$C$12+B19*0.001*'1a. Spredningsmodell input'!$C$14)*1000*'1a. Spredningsmodell input'!$B$41*'1a. Spredningsmodell input'!$C$18,"")</f>
        <v/>
      </c>
      <c r="E19" s="283">
        <f>C19*'1a. Spredningsmodell input'!$C$12/'1a. Spredningsmodell input'!$C$14+1</f>
        <v>34.83</v>
      </c>
      <c r="F19" s="284">
        <f>'1a. Spredningsmodell input'!$B$43/E19</f>
        <v>4.3066322136089574E-2</v>
      </c>
      <c r="G19" s="34" t="e">
        <f>Stoff!P19*Mellomregninger!D19</f>
        <v>#VALUE!</v>
      </c>
      <c r="H19" s="283" t="e">
        <f>(D19-G19)*(F19/(F19+Stoff!L19))</f>
        <v>#VALUE!</v>
      </c>
      <c r="I19" s="283">
        <f>F19/(F19+Stoff!L19)</f>
        <v>1</v>
      </c>
      <c r="J19" s="285" t="str">
        <f>IF(B19="","",IF(ISNUMBER('1d. Kons. mettet sone'!E19),'1d. Kons. mettet sone'!E19,IF(ISNUMBER('1e. Kons. grunnvann'!E19),'1e. Kons. grunnvann'!E19*Mellomregninger!K19,0)))</f>
        <v/>
      </c>
      <c r="K19" s="286">
        <f>IF(Stoff!B19="uorganisk",Stoff!C19,Stoff!D19*'1a. Spredningsmodell input'!$C$24)</f>
        <v>0.39800000000000002</v>
      </c>
      <c r="L19" s="27" t="e">
        <f>IF(ISNUMBER('1e. Kons. grunnvann'!E19),1000*'1e. Kons. grunnvann'!E19,1000*J19/K19)</f>
        <v>#VALUE!</v>
      </c>
      <c r="M19" s="34">
        <f>K19*'1a. Spredningsmodell input'!$C$25/'1a. Spredningsmodell input'!$C$26+1</f>
        <v>2.6914999999999996</v>
      </c>
      <c r="N19" s="284">
        <f>'1a. Spredningsmodell input'!$C$26/M19</f>
        <v>0.14861601337544122</v>
      </c>
      <c r="O19" s="287" t="e">
        <f>0.000000001*(J19*'1a. Spredningsmodell input'!$C$25+L19)*1000*'1a. Spredningsmodell input'!$B$45</f>
        <v>#VALUE!</v>
      </c>
      <c r="P19" s="287" t="e">
        <f>O19*Stoff!P19</f>
        <v>#VALUE!</v>
      </c>
      <c r="Q19" s="287">
        <f>N19/(N19+Stoff!M19)</f>
        <v>1</v>
      </c>
      <c r="R19" s="288">
        <f>IF(ISNUMBER('1f. Kons. resipient'!E19),'1f. Kons. resipient'!E19,0)</f>
        <v>0</v>
      </c>
      <c r="S19" s="288">
        <f>0.000000001*'1a. Spredningsmodell input'!$C$36*R19*1000</f>
        <v>0</v>
      </c>
      <c r="T19" s="288">
        <f>1/'1a. Spredningsmodell input'!$C$35</f>
        <v>1</v>
      </c>
      <c r="U19" s="288">
        <f>1/'1a. Spredningsmodell input'!$C$35</f>
        <v>1</v>
      </c>
      <c r="V19" s="300" t="e">
        <f>(1/($N19+Stoff!$L19))*(LN(($D19*$I19/($D19*$I19+$J19))*($F19+Stoff!$L19+$N19+Stoff!$M19)/($N19+Stoff!$M19)))</f>
        <v>#VALUE!</v>
      </c>
      <c r="W19" s="290" t="e">
        <f>($D19-Stoff!$P19*$D19)*EXP(-($F19+Stoff!$L19*365)*V19)</f>
        <v>#VALUE!</v>
      </c>
      <c r="X19" s="291" t="e">
        <f>(Stoff!$P19*$D19)*EXP(-'1a. Spredningsmodell input'!$B$43*V19)</f>
        <v>#VALUE!</v>
      </c>
      <c r="Y19" s="290" t="e">
        <f>($D19-Stoff!$P19*$D19-W19)*($F19/($F19+Stoff!$L19*365))</f>
        <v>#VALUE!</v>
      </c>
      <c r="Z19" s="290" t="e">
        <f>(Stoff!$P19*$D19)-X19</f>
        <v>#VALUE!</v>
      </c>
      <c r="AA19" s="290" t="e">
        <f>($O19+Y19)*EXP(-($N19+Stoff!$M19*365)*V19)</f>
        <v>#VALUE!</v>
      </c>
      <c r="AB19" s="290" t="e">
        <f>(Stoff!$P19*$O19+Z19)*EXP(-('1a. Spredningsmodell input'!$B$46)*V19)</f>
        <v>#VALUE!</v>
      </c>
      <c r="AC19" s="292" t="e">
        <f>((AA19+AB19)*1000000000)/('1a. Spredningsmodell input'!$B$45*1000)</f>
        <v>#VALUE!</v>
      </c>
      <c r="AD19" s="294" t="e">
        <f>0.001*AC19/('1a. Spredningsmodell input'!$C$25+'1a. Spredningsmodell input'!$C$26/Mellomregninger!$K19)</f>
        <v>#VALUE!</v>
      </c>
      <c r="AE19" s="294" t="e">
        <f>1000*AD19/$K19+AB19*1000000000/('1a. Spredningsmodell input'!$B$45*1000)</f>
        <v>#VALUE!</v>
      </c>
      <c r="AF19" s="294" t="e">
        <f t="shared" si="0"/>
        <v>#VALUE!</v>
      </c>
      <c r="AG19" s="294" t="e">
        <f>AB19*1000000000/('1a. Spredningsmodell input'!$B$45*1000)</f>
        <v>#VALUE!</v>
      </c>
      <c r="AH19" s="300" t="e">
        <f>(1/('1a. Spredningsmodell input'!$B$46))*(LN(($D19*Stoff!$P19/($D19*Stoff!$P19+$P19*Stoff!$P19))*('1a. Spredningsmodell input'!$B$43+'1a. Spredningsmodell input'!$B$46)/('1a. Spredningsmodell input'!$B$46)))</f>
        <v>#VALUE!</v>
      </c>
      <c r="AI19" s="290" t="e">
        <f>($D19-Stoff!$P19*$D19)*EXP(-($F19+Stoff!$L19*365)*AH19)</f>
        <v>#VALUE!</v>
      </c>
      <c r="AJ19" s="291" t="e">
        <f>(Stoff!$P19*$D19)*EXP(-'1a. Spredningsmodell input'!$B$43*AH19)</f>
        <v>#VALUE!</v>
      </c>
      <c r="AK19" s="290" t="e">
        <f>($D19-Stoff!$P19*$D19-AI19)*($F19/($F19+Stoff!$L19*365))</f>
        <v>#VALUE!</v>
      </c>
      <c r="AL19" s="290" t="e">
        <f>(Stoff!$P19*$D19)-AJ19</f>
        <v>#VALUE!</v>
      </c>
      <c r="AM19" s="290" t="e">
        <f>($O19+AK19)*EXP(-($N19+Stoff!$M19*365)*AH19)</f>
        <v>#VALUE!</v>
      </c>
      <c r="AN19" s="290" t="e">
        <f>(Stoff!$P19*$O19+AL19)*EXP(-('1a. Spredningsmodell input'!$B$46)*AH19)</f>
        <v>#VALUE!</v>
      </c>
      <c r="AO19" s="292" t="e">
        <f>((AM19+AN19)*1000000000)/('1a. Spredningsmodell input'!$B$45*1000)</f>
        <v>#VALUE!</v>
      </c>
      <c r="AP19" s="294" t="e">
        <f>0.001*AO19/('1a. Spredningsmodell input'!$C$25+'1a. Spredningsmodell input'!$C$26/Mellomregninger!$K19)</f>
        <v>#VALUE!</v>
      </c>
      <c r="AQ19" s="294" t="e">
        <f>1000*AP19/$K19+AN19*1000000000/('1a. Spredningsmodell input'!$B$45*1000)</f>
        <v>#VALUE!</v>
      </c>
      <c r="AR19" s="294" t="e">
        <f t="shared" si="1"/>
        <v>#VALUE!</v>
      </c>
      <c r="AS19" s="294" t="e">
        <f>AN19*1000000000/('1a. Spredningsmodell input'!$B$45*1000)</f>
        <v>#VALUE!</v>
      </c>
      <c r="AT19" s="295">
        <f t="shared" si="14"/>
        <v>5</v>
      </c>
      <c r="AU19" s="290" t="e">
        <f>($D19-Stoff!$P19*$D19)*EXP(-($F19+Stoff!$L19*365)*AT19)</f>
        <v>#VALUE!</v>
      </c>
      <c r="AV19" s="291" t="e">
        <f>(Stoff!$P19*$D19)*EXP(-'1a. Spredningsmodell input'!$B$43*AT19)</f>
        <v>#VALUE!</v>
      </c>
      <c r="AW19" s="290" t="e">
        <f>($D19-Stoff!$P19*$D19-AU19)*($F19/($F19+Stoff!$L19*365))</f>
        <v>#VALUE!</v>
      </c>
      <c r="AX19" s="290" t="e">
        <f>(Stoff!$P19*$D19)-AV19</f>
        <v>#VALUE!</v>
      </c>
      <c r="AY19" s="290" t="e">
        <f>($O19+AW19)*EXP(-($N19+Stoff!$M19*365)*AT19)</f>
        <v>#VALUE!</v>
      </c>
      <c r="AZ19" s="290" t="e">
        <f>(Stoff!$P19*$O19+AX19)*EXP(-('1a. Spredningsmodell input'!$B$46)*AT19)</f>
        <v>#VALUE!</v>
      </c>
      <c r="BA19" s="292" t="e">
        <f>((AY19+AZ19)*1000000000)/('1a. Spredningsmodell input'!$B$45*1000)</f>
        <v>#VALUE!</v>
      </c>
      <c r="BB19" s="294" t="e">
        <f>0.001*BA19/('1a. Spredningsmodell input'!$C$25+'1a. Spredningsmodell input'!$C$26/Mellomregninger!$K19)</f>
        <v>#VALUE!</v>
      </c>
      <c r="BC19" s="294" t="e">
        <f>1000*BB19/$K19+AZ19*1000000000/('1a. Spredningsmodell input'!$B$45*1000)</f>
        <v>#VALUE!</v>
      </c>
      <c r="BD19" s="294" t="e">
        <f t="shared" si="2"/>
        <v>#VALUE!</v>
      </c>
      <c r="BE19" s="294" t="e">
        <f>AZ19*1000000000/('1a. Spredningsmodell input'!$B$45*1000)</f>
        <v>#VALUE!</v>
      </c>
      <c r="BF19" s="295">
        <f t="shared" si="15"/>
        <v>20</v>
      </c>
      <c r="BG19" s="290" t="e">
        <f>($D19-Stoff!$P19*$D19)*EXP(-($F19+Stoff!$L19*365)*BF19)</f>
        <v>#VALUE!</v>
      </c>
      <c r="BH19" s="291" t="e">
        <f>(Stoff!$P19*$D19)*EXP(-'1a. Spredningsmodell input'!$B$43*BF19)</f>
        <v>#VALUE!</v>
      </c>
      <c r="BI19" s="290" t="e">
        <f>($D19-Stoff!$P19*$D19-BG19)*($F19/($F19+Stoff!$L19*365))</f>
        <v>#VALUE!</v>
      </c>
      <c r="BJ19" s="290" t="e">
        <f>(Stoff!$P19*$D19)-BH19</f>
        <v>#VALUE!</v>
      </c>
      <c r="BK19" s="290" t="e">
        <f>($O19+BI19)*EXP(-($N19+Stoff!$M19*365)*BF19)</f>
        <v>#VALUE!</v>
      </c>
      <c r="BL19" s="290" t="e">
        <f>(Stoff!$P19*$O19+BJ19)*EXP(-('1a. Spredningsmodell input'!$B$46)*BF19)</f>
        <v>#VALUE!</v>
      </c>
      <c r="BM19" s="292" t="e">
        <f>((BK19+BL19)*1000000000)/('1a. Spredningsmodell input'!$B$45*1000)</f>
        <v>#VALUE!</v>
      </c>
      <c r="BN19" s="294" t="e">
        <f>0.001*BM19/('1a. Spredningsmodell input'!$C$25+'1a. Spredningsmodell input'!$C$26/Mellomregninger!$K19)</f>
        <v>#VALUE!</v>
      </c>
      <c r="BO19" s="294" t="e">
        <f>1000*BN19/$K19+BL19*1000000000/('1a. Spredningsmodell input'!$B$45*1000)</f>
        <v>#VALUE!</v>
      </c>
      <c r="BP19" s="294" t="e">
        <f t="shared" si="3"/>
        <v>#VALUE!</v>
      </c>
      <c r="BQ19" s="294" t="e">
        <f>BL19*1000000000/('1a. Spredningsmodell input'!$B$45*1000)</f>
        <v>#VALUE!</v>
      </c>
      <c r="BR19" s="295">
        <f t="shared" si="16"/>
        <v>100</v>
      </c>
      <c r="BS19" s="290" t="e">
        <f>($D19-Stoff!$P19*$D19)*EXP(-($F19+Stoff!$L19*365)*BR19)</f>
        <v>#VALUE!</v>
      </c>
      <c r="BT19" s="291" t="e">
        <f>(Stoff!$P19*$D19)*EXP(-'1a. Spredningsmodell input'!$B$43*BR19)</f>
        <v>#VALUE!</v>
      </c>
      <c r="BU19" s="290" t="e">
        <f>($D19-Stoff!$P19*$D19-BS19)*($F19/($F19+Stoff!$L19*365))</f>
        <v>#VALUE!</v>
      </c>
      <c r="BV19" s="290" t="e">
        <f>(Stoff!$P19*$D19)-BT19</f>
        <v>#VALUE!</v>
      </c>
      <c r="BW19" s="290" t="e">
        <f>($O19+BU19)*EXP(-($N19+Stoff!$M19*365)*BR19)</f>
        <v>#VALUE!</v>
      </c>
      <c r="BX19" s="290" t="e">
        <f>(Stoff!$P19*$O19+BV19)*EXP(-('1a. Spredningsmodell input'!$B$46)*BR19)</f>
        <v>#VALUE!</v>
      </c>
      <c r="BY19" s="292" t="e">
        <f>((BW19+BX19)*1000000000)/('1a. Spredningsmodell input'!$B$45*1000)</f>
        <v>#VALUE!</v>
      </c>
      <c r="BZ19" s="294" t="e">
        <f>0.001*BY19/('1a. Spredningsmodell input'!$C$25+'1a. Spredningsmodell input'!$C$26/Mellomregninger!$K19)</f>
        <v>#VALUE!</v>
      </c>
      <c r="CA19" s="294" t="e">
        <f>1000*BZ19/$K19+BX19*1000000000/('1a. Spredningsmodell input'!$B$45*1000)</f>
        <v>#VALUE!</v>
      </c>
      <c r="CB19" s="294" t="e">
        <f t="shared" si="4"/>
        <v>#VALUE!</v>
      </c>
      <c r="CC19" s="294" t="e">
        <f>BX19*1000000000/('1a. Spredningsmodell input'!$B$45*1000)</f>
        <v>#VALUE!</v>
      </c>
      <c r="CD19" s="294" t="e">
        <f>V19+'1a. Spredningsmodell input'!$C$35</f>
        <v>#VALUE!</v>
      </c>
      <c r="CE19" s="294" t="e">
        <f>($S19+$Q19*($O19+$I19*($D19*(1-Stoff!$P19))*(1-EXP(-($F19+Stoff!$L19*365)*CD19)))*(1-EXP(-($N19+Stoff!$M19*365)*CD19)))</f>
        <v>#VALUE!</v>
      </c>
      <c r="CF19" s="294" t="e">
        <f t="shared" si="5"/>
        <v>#VALUE!</v>
      </c>
      <c r="CG19" s="296" t="e">
        <f>(CF19/1000000)*'1a. Spredningsmodell input'!$B$49*'1a. Spredningsmodell input'!$C$35</f>
        <v>#VALUE!</v>
      </c>
      <c r="CH19" s="294" t="e">
        <f t="shared" si="17"/>
        <v>#VALUE!</v>
      </c>
      <c r="CI19" s="290" t="e">
        <f>(CH19/1000000)*'1a. Spredningsmodell input'!$B$49*'1a. Spredningsmodell input'!$C$35</f>
        <v>#VALUE!</v>
      </c>
      <c r="CJ19" s="297" t="e">
        <f>($S19)*EXP(-(Stoff!$N19*365+$U19)*CD19)+CG19</f>
        <v>#VALUE!</v>
      </c>
      <c r="CK19" s="297" t="e">
        <f>(Stoff!$P19*$S19+CI19)*EXP(-$T19*CD19)</f>
        <v>#VALUE!</v>
      </c>
      <c r="CL19" s="297" t="e">
        <f>(CJ19+CK19)*1000000000/('1a. Spredningsmodell input'!$C$36*1000)</f>
        <v>#VALUE!</v>
      </c>
      <c r="CM19" s="297" t="e">
        <f>$G19*(1-EXP(-'1a. Spredningsmodell input'!$B$43*Mellomregninger!CD19))*(1-EXP(-'1a. Spredningsmodell input'!$B$46*Mellomregninger!CD19))</f>
        <v>#VALUE!</v>
      </c>
      <c r="CN19" s="297"/>
      <c r="CO19" s="297"/>
      <c r="CP19" s="290">
        <f>IF(ISNUMBER(AH19),AH19+'1a. Spredningsmodell input'!$C$35,'1a. Spredningsmodell input'!$C$35)</f>
        <v>1</v>
      </c>
      <c r="CQ19" s="294" t="e">
        <f>($S19+$Q19*($O19+$I19*($D19*(1-Stoff!$P19))*(1-EXP(-($F19+Stoff!$L19*365)*CP19)))*(1-EXP(-($N19+Stoff!$M19*365)*CP19)))</f>
        <v>#VALUE!</v>
      </c>
      <c r="CR19" s="294" t="e">
        <f t="shared" si="6"/>
        <v>#VALUE!</v>
      </c>
      <c r="CS19" s="296" t="e">
        <f>(CR19/1000000)*('1a. Spredningsmodell input'!$B$49*'1a. Spredningsmodell input'!$C$35)</f>
        <v>#VALUE!</v>
      </c>
      <c r="CT19" s="294" t="e">
        <f t="shared" si="7"/>
        <v>#VALUE!</v>
      </c>
      <c r="CU19" s="290" t="e">
        <f>(CT19/1000000)*('1a. Spredningsmodell input'!$B$49)*'1a. Spredningsmodell input'!$C$35</f>
        <v>#VALUE!</v>
      </c>
      <c r="CV19" s="297" t="e">
        <f>($S19)*EXP(-(Stoff!$N19*365+$U19)*CP19)+CS19</f>
        <v>#VALUE!</v>
      </c>
      <c r="CW19" s="297" t="e">
        <f>(Stoff!$P19*$S19+CU19)*EXP(-$T19*CP19)</f>
        <v>#VALUE!</v>
      </c>
      <c r="CX19" s="297">
        <f>IF(ISERROR(CV19),0,(CV19+CW19)*1000000000/('1a. Spredningsmodell input'!$C$36*1000))</f>
        <v>0</v>
      </c>
      <c r="CY19" s="297" t="e">
        <f>$G19*(1-EXP(-'1a. Spredningsmodell input'!$B$43*Mellomregninger!CP19))*(1-EXP(-'1a. Spredningsmodell input'!$B$46*Mellomregninger!CP19))</f>
        <v>#VALUE!</v>
      </c>
      <c r="CZ19" s="297"/>
      <c r="DA19" s="297"/>
      <c r="DB19" s="262">
        <f t="shared" si="18"/>
        <v>5</v>
      </c>
      <c r="DC19" s="298" t="e">
        <f>($S19+$Q19*($O19+$I19*($D19*(1-Stoff!$P19))*(1-EXP(-($F19+Stoff!$L19*365)*DB19)))*(1-EXP(-($N19+Stoff!$M19*365)*DB19)))</f>
        <v>#VALUE!</v>
      </c>
      <c r="DD19" s="294" t="e">
        <f t="shared" si="8"/>
        <v>#VALUE!</v>
      </c>
      <c r="DE19" s="296" t="e">
        <f>(DD19/1000000)*('1a. Spredningsmodell input'!$B$49)*'1a. Spredningsmodell input'!$C$35</f>
        <v>#VALUE!</v>
      </c>
      <c r="DF19" s="294" t="e">
        <f t="shared" si="19"/>
        <v>#VALUE!</v>
      </c>
      <c r="DG19" s="290" t="e">
        <f>(DF19/1000000)*('1a. Spredningsmodell input'!$B$49)*'1a. Spredningsmodell input'!$C$35</f>
        <v>#VALUE!</v>
      </c>
      <c r="DH19" s="297" t="e">
        <f>($S19)*EXP(-(Stoff!$N19*365+$U19)*DB19)+DE19</f>
        <v>#VALUE!</v>
      </c>
      <c r="DI19" s="297" t="e">
        <f>(Stoff!$P19*$S19+DG19)*EXP(-$T19*DB19)</f>
        <v>#VALUE!</v>
      </c>
      <c r="DJ19" s="297" t="e">
        <f>(DH19+DI19)*1000000000/('1a. Spredningsmodell input'!$C$36*1000)</f>
        <v>#VALUE!</v>
      </c>
      <c r="DK19" s="297" t="e">
        <f>$G19*(1-EXP(-'1a. Spredningsmodell input'!$B$43*Mellomregninger!DB19))*(1-EXP(-'1a. Spredningsmodell input'!$B$46*Mellomregninger!DB19))</f>
        <v>#VALUE!</v>
      </c>
      <c r="DL19" s="297"/>
      <c r="DM19" s="297"/>
      <c r="DN19" s="262">
        <f t="shared" si="20"/>
        <v>20</v>
      </c>
      <c r="DO19" s="298" t="e">
        <f>($S19+$Q19*($O19+$I19*($D19*(1-Stoff!$P19))*(1-EXP(-($F19+Stoff!$L19*365)*DN19)))*(1-EXP(-($N19+Stoff!$M19*365)*DN19)))</f>
        <v>#VALUE!</v>
      </c>
      <c r="DP19" s="294" t="e">
        <f t="shared" si="21"/>
        <v>#VALUE!</v>
      </c>
      <c r="DQ19" s="296" t="e">
        <f>(DP19/1000000)*('1a. Spredningsmodell input'!$B$49)*'1a. Spredningsmodell input'!$C$35</f>
        <v>#VALUE!</v>
      </c>
      <c r="DR19" s="294" t="e">
        <f t="shared" si="9"/>
        <v>#VALUE!</v>
      </c>
      <c r="DS19" s="290" t="e">
        <f>(DR19/1000000)*('1a. Spredningsmodell input'!$B$49)*'1a. Spredningsmodell input'!$C$35</f>
        <v>#VALUE!</v>
      </c>
      <c r="DT19" s="297" t="e">
        <f>($S19)*EXP(-(Stoff!$N19*365+$U19)*DN19)+DQ19</f>
        <v>#VALUE!</v>
      </c>
      <c r="DU19" s="297" t="e">
        <f>(Stoff!$P19*$S19+DS19)*EXP(-$T19*DN19)</f>
        <v>#VALUE!</v>
      </c>
      <c r="DV19" s="297" t="e">
        <f>(DT19+DU19)*1000000000/('1a. Spredningsmodell input'!$C$36*1000)</f>
        <v>#VALUE!</v>
      </c>
      <c r="DW19" s="297" t="e">
        <f>$G19*(1-EXP(-'1a. Spredningsmodell input'!$B$43*Mellomregninger!DN19))*(1-EXP(-'1a. Spredningsmodell input'!$B$46*Mellomregninger!DN19))</f>
        <v>#VALUE!</v>
      </c>
      <c r="DX19" s="297"/>
      <c r="DY19" s="297"/>
      <c r="DZ19" s="262">
        <f t="shared" si="22"/>
        <v>100</v>
      </c>
      <c r="EA19" s="298" t="e">
        <f>($S19+$Q19*($O19+$I19*($D19*(1-Stoff!$P19))*(1-EXP(-($F19+Stoff!$L19*365)*DZ19)))*(1-EXP(-($N19+Stoff!$M19*365)*DZ19)))</f>
        <v>#VALUE!</v>
      </c>
      <c r="EB19" s="294" t="e">
        <f t="shared" si="10"/>
        <v>#VALUE!</v>
      </c>
      <c r="EC19" s="296" t="e">
        <f>(EB19/1000000)*('1a. Spredningsmodell input'!$B$49)*'1a. Spredningsmodell input'!$C$35</f>
        <v>#VALUE!</v>
      </c>
      <c r="ED19" s="294" t="e">
        <f t="shared" si="11"/>
        <v>#VALUE!</v>
      </c>
      <c r="EE19" s="290" t="e">
        <f>(ED19/1000000)*('1a. Spredningsmodell input'!$B$49)*'1a. Spredningsmodell input'!$C$35</f>
        <v>#VALUE!</v>
      </c>
      <c r="EF19" s="297" t="e">
        <f>($S19)*EXP(-(Stoff!$N19*365+$U19)*DZ19)+EC19</f>
        <v>#VALUE!</v>
      </c>
      <c r="EG19" s="297" t="e">
        <f>(Stoff!$P19*$S19+EE19)*EXP(-$T19*DZ19)</f>
        <v>#VALUE!</v>
      </c>
      <c r="EH19" s="297" t="e">
        <f>(EF19+EG19)*1000000000/('1a. Spredningsmodell input'!$C$36*1000)</f>
        <v>#VALUE!</v>
      </c>
      <c r="EI19" s="297" t="e">
        <f>$G19*(1-EXP(-'1a. Spredningsmodell input'!$B$43*Mellomregninger!DZ19))*(1-EXP(-'1a. Spredningsmodell input'!$B$46*Mellomregninger!DZ19))</f>
        <v>#VALUE!</v>
      </c>
      <c r="EJ19" s="297"/>
      <c r="EK19" s="297"/>
      <c r="EL19" s="262">
        <f t="shared" si="23"/>
        <v>1.0000000000000001E+25</v>
      </c>
      <c r="EM19" s="294" t="e">
        <f>($S19+$Q19*($O19+$I19*($D19*(1-Stoff!$P19))*(1-EXP(-($F19+Stoff!$L19*365)*EL19)))*(1-EXP(-($N19+Stoff!$M19*365)*EL19)))</f>
        <v>#VALUE!</v>
      </c>
      <c r="EN19" s="296" t="e">
        <f>($S19+$Q19*($O19+$I19*($D19*(1-Stoff!$P19))*(1-EXP(-($F19+Stoff!$L19*365)*(EL19-'1a. Spredningsmodell input'!$C$35))))*(1-EXP(-($N19+Stoff!$M19*365)*(EL19-'1a. Spredningsmodell input'!$C$35))))</f>
        <v>#VALUE!</v>
      </c>
      <c r="EO19" s="294" t="e">
        <f>IF(EL19&lt;'1a. Spredningsmodell input'!$C$35,EM19-($S19)*EXP(-(Stoff!$N19*365+$U19)*EL19),EM19-EN19)</f>
        <v>#VALUE!</v>
      </c>
      <c r="EP19" s="290" t="e">
        <f>((($D19*(Stoff!$P19))*(1-EXP(-'1a. Spredningsmodell input'!$B$43*EL19)))*(1-EXP(-'1a. Spredningsmodell input'!$B$46*EL19)))</f>
        <v>#VALUE!</v>
      </c>
      <c r="EQ19" s="294" t="e">
        <f>((($D19*(Stoff!$P19))*(1-EXP(-'1a. Spredningsmodell input'!$B$43*(EL19-'1a. Spredningsmodell input'!$C$35))))*(1-EXP(-'1a. Spredningsmodell input'!$B$46*(EL19-'1a. Spredningsmodell input'!$C$35))))</f>
        <v>#VALUE!</v>
      </c>
      <c r="ER19" s="290" t="e">
        <f>IF(EL19&lt;'1a. Spredningsmodell input'!$C$35,0,EP19-EQ19)</f>
        <v>#VALUE!</v>
      </c>
      <c r="ES19" s="297" t="e">
        <f>($S19)*EXP(-(Stoff!$N19*365+$U19)*EL19)+EO19</f>
        <v>#VALUE!</v>
      </c>
      <c r="ET19" s="297" t="e">
        <f>(Stoff!$P19*$S19+ER19)*EXP(-$T19*EL19)</f>
        <v>#VALUE!</v>
      </c>
      <c r="EU19" s="297" t="e">
        <f>(ES19+ET19)*1000000000/('1a. Spredningsmodell input'!$C$36*1000)</f>
        <v>#VALUE!</v>
      </c>
      <c r="EV19" s="262" t="e">
        <f t="shared" si="12"/>
        <v>#VALUE!</v>
      </c>
      <c r="EW19" s="299" t="e">
        <f t="shared" si="13"/>
        <v>#VALUE!</v>
      </c>
      <c r="EX19" s="262" t="e">
        <f t="shared" si="24"/>
        <v>#VALUE!</v>
      </c>
    </row>
    <row r="20" spans="1:154" x14ac:dyDescent="0.35">
      <c r="A20" s="50" t="s">
        <v>190</v>
      </c>
      <c r="B20" s="34" t="str">
        <f>IF(ISNUMBER('1c. Kons. porevann'!E20),1000*'1c. Kons. porevann'!E20,IF(ISNUMBER('1b. Kons. umettet jord'!E20),1000*'1b. Kons. umettet jord'!E20/C20,""))</f>
        <v/>
      </c>
      <c r="C20" s="244">
        <f>IF(Stoff!B20="uorganisk",Stoff!C20,Stoff!D20*'1a. Spredningsmodell input'!$C$11)</f>
        <v>3.72</v>
      </c>
      <c r="D20" s="34" t="str">
        <f>IF(ISNUMBER(B20),0.000001*('1b. Kons. umettet jord'!G20*'1a. Spredningsmodell input'!$C$12+B20*0.001*'1a. Spredningsmodell input'!$C$14)*1000*'1a. Spredningsmodell input'!$B$41*'1a. Spredningsmodell input'!$C$18,"")</f>
        <v/>
      </c>
      <c r="E20" s="283">
        <f>C20*'1a. Spredningsmodell input'!$C$12/'1a. Spredningsmodell input'!$C$14+1</f>
        <v>32.619999999999997</v>
      </c>
      <c r="F20" s="284">
        <f>'1a. Spredningsmodell input'!$B$43/E20</f>
        <v>4.5984058859595334E-2</v>
      </c>
      <c r="G20" s="34" t="e">
        <f>Stoff!P20*Mellomregninger!D20</f>
        <v>#VALUE!</v>
      </c>
      <c r="H20" s="283" t="e">
        <f>(D20-G20)*(F20/(F20+Stoff!L20))</f>
        <v>#VALUE!</v>
      </c>
      <c r="I20" s="283">
        <f>F20/(F20+Stoff!L20)</f>
        <v>1</v>
      </c>
      <c r="J20" s="285" t="str">
        <f>IF(B20="","",IF(ISNUMBER('1d. Kons. mettet sone'!E20),'1d. Kons. mettet sone'!E20,IF(ISNUMBER('1e. Kons. grunnvann'!E20),'1e. Kons. grunnvann'!E20*Mellomregninger!K20,0)))</f>
        <v/>
      </c>
      <c r="K20" s="286">
        <f>IF(Stoff!B20="uorganisk",Stoff!C20,Stoff!D20*'1a. Spredningsmodell input'!$C$24)</f>
        <v>0.372</v>
      </c>
      <c r="L20" s="27" t="e">
        <f>IF(ISNUMBER('1e. Kons. grunnvann'!E20),1000*'1e. Kons. grunnvann'!E20,1000*J20/K20)</f>
        <v>#VALUE!</v>
      </c>
      <c r="M20" s="34">
        <f>K20*'1a. Spredningsmodell input'!$C$25/'1a. Spredningsmodell input'!$C$26+1</f>
        <v>2.5809999999999995</v>
      </c>
      <c r="N20" s="284">
        <f>'1a. Spredningsmodell input'!$C$26/M20</f>
        <v>0.1549786904300659</v>
      </c>
      <c r="O20" s="287" t="e">
        <f>0.000000001*(J20*'1a. Spredningsmodell input'!$C$25+L20)*1000*'1a. Spredningsmodell input'!$B$45</f>
        <v>#VALUE!</v>
      </c>
      <c r="P20" s="287" t="e">
        <f>O20*Stoff!P20</f>
        <v>#VALUE!</v>
      </c>
      <c r="Q20" s="287">
        <f>N20/(N20+Stoff!M20)</f>
        <v>1</v>
      </c>
      <c r="R20" s="288">
        <f>IF(ISNUMBER('1f. Kons. resipient'!E20),'1f. Kons. resipient'!E20,0)</f>
        <v>0</v>
      </c>
      <c r="S20" s="288">
        <f>0.000000001*'1a. Spredningsmodell input'!$C$36*R20*1000</f>
        <v>0</v>
      </c>
      <c r="T20" s="288">
        <f>1/'1a. Spredningsmodell input'!$C$35</f>
        <v>1</v>
      </c>
      <c r="U20" s="288">
        <f>1/'1a. Spredningsmodell input'!$C$35</f>
        <v>1</v>
      </c>
      <c r="V20" s="300" t="e">
        <f>(1/($N20+Stoff!$L20))*(LN(($D20*$I20/($D20*$I20+$J20))*($F20+Stoff!$L20+$N20+Stoff!$M20)/($N20+Stoff!$M20)))</f>
        <v>#VALUE!</v>
      </c>
      <c r="W20" s="290" t="e">
        <f>($D20-Stoff!$P20*$D20)*EXP(-($F20+Stoff!$L20*365)*V20)</f>
        <v>#VALUE!</v>
      </c>
      <c r="X20" s="291" t="e">
        <f>(Stoff!$P20*$D20)*EXP(-'1a. Spredningsmodell input'!$B$43*V20)</f>
        <v>#VALUE!</v>
      </c>
      <c r="Y20" s="290" t="e">
        <f>($D20-Stoff!$P20*$D20-W20)*($F20/($F20+Stoff!$L20*365))</f>
        <v>#VALUE!</v>
      </c>
      <c r="Z20" s="290" t="e">
        <f>(Stoff!$P20*$D20)-X20</f>
        <v>#VALUE!</v>
      </c>
      <c r="AA20" s="290" t="e">
        <f>($O20+Y20)*EXP(-($N20+Stoff!$M20*365)*V20)</f>
        <v>#VALUE!</v>
      </c>
      <c r="AB20" s="290" t="e">
        <f>(Stoff!$P20*$O20+Z20)*EXP(-('1a. Spredningsmodell input'!$B$46)*V20)</f>
        <v>#VALUE!</v>
      </c>
      <c r="AC20" s="292" t="e">
        <f>((AA20+AB20)*1000000000)/('1a. Spredningsmodell input'!$B$45*1000)</f>
        <v>#VALUE!</v>
      </c>
      <c r="AD20" s="294" t="e">
        <f>0.001*AC20/('1a. Spredningsmodell input'!$C$25+'1a. Spredningsmodell input'!$C$26/Mellomregninger!$K20)</f>
        <v>#VALUE!</v>
      </c>
      <c r="AE20" s="294" t="e">
        <f>1000*AD20/$K20+AB20*1000000000/('1a. Spredningsmodell input'!$B$45*1000)</f>
        <v>#VALUE!</v>
      </c>
      <c r="AF20" s="294" t="e">
        <f t="shared" si="0"/>
        <v>#VALUE!</v>
      </c>
      <c r="AG20" s="294" t="e">
        <f>AB20*1000000000/('1a. Spredningsmodell input'!$B$45*1000)</f>
        <v>#VALUE!</v>
      </c>
      <c r="AH20" s="300" t="e">
        <f>(1/('1a. Spredningsmodell input'!$B$46))*(LN(($D20*Stoff!$P20/($D20*Stoff!$P20+$P20*Stoff!$P20))*('1a. Spredningsmodell input'!$B$43+'1a. Spredningsmodell input'!$B$46)/('1a. Spredningsmodell input'!$B$46)))</f>
        <v>#VALUE!</v>
      </c>
      <c r="AI20" s="290" t="e">
        <f>($D20-Stoff!$P20*$D20)*EXP(-($F20+Stoff!$L20*365)*AH20)</f>
        <v>#VALUE!</v>
      </c>
      <c r="AJ20" s="291" t="e">
        <f>(Stoff!$P20*$D20)*EXP(-'1a. Spredningsmodell input'!$B$43*AH20)</f>
        <v>#VALUE!</v>
      </c>
      <c r="AK20" s="290" t="e">
        <f>($D20-Stoff!$P20*$D20-AI20)*($F20/($F20+Stoff!$L20*365))</f>
        <v>#VALUE!</v>
      </c>
      <c r="AL20" s="290" t="e">
        <f>(Stoff!$P20*$D20)-AJ20</f>
        <v>#VALUE!</v>
      </c>
      <c r="AM20" s="290" t="e">
        <f>($O20+AK20)*EXP(-($N20+Stoff!$M20*365)*AH20)</f>
        <v>#VALUE!</v>
      </c>
      <c r="AN20" s="290" t="e">
        <f>(Stoff!$P20*$O20+AL20)*EXP(-('1a. Spredningsmodell input'!$B$46)*AH20)</f>
        <v>#VALUE!</v>
      </c>
      <c r="AO20" s="292" t="e">
        <f>((AM20+AN20)*1000000000)/('1a. Spredningsmodell input'!$B$45*1000)</f>
        <v>#VALUE!</v>
      </c>
      <c r="AP20" s="294" t="e">
        <f>0.001*AO20/('1a. Spredningsmodell input'!$C$25+'1a. Spredningsmodell input'!$C$26/Mellomregninger!$K20)</f>
        <v>#VALUE!</v>
      </c>
      <c r="AQ20" s="294" t="e">
        <f>1000*AP20/$K20+AN20*1000000000/('1a. Spredningsmodell input'!$B$45*1000)</f>
        <v>#VALUE!</v>
      </c>
      <c r="AR20" s="294" t="e">
        <f t="shared" si="1"/>
        <v>#VALUE!</v>
      </c>
      <c r="AS20" s="294" t="e">
        <f>AN20*1000000000/('1a. Spredningsmodell input'!$B$45*1000)</f>
        <v>#VALUE!</v>
      </c>
      <c r="AT20" s="295">
        <f t="shared" si="14"/>
        <v>5</v>
      </c>
      <c r="AU20" s="290" t="e">
        <f>($D20-Stoff!$P20*$D20)*EXP(-($F20+Stoff!$L20*365)*AT20)</f>
        <v>#VALUE!</v>
      </c>
      <c r="AV20" s="291" t="e">
        <f>(Stoff!$P20*$D20)*EXP(-'1a. Spredningsmodell input'!$B$43*AT20)</f>
        <v>#VALUE!</v>
      </c>
      <c r="AW20" s="290" t="e">
        <f>($D20-Stoff!$P20*$D20-AU20)*($F20/($F20+Stoff!$L20*365))</f>
        <v>#VALUE!</v>
      </c>
      <c r="AX20" s="290" t="e">
        <f>(Stoff!$P20*$D20)-AV20</f>
        <v>#VALUE!</v>
      </c>
      <c r="AY20" s="290" t="e">
        <f>($O20+AW20)*EXP(-($N20+Stoff!$M20*365)*AT20)</f>
        <v>#VALUE!</v>
      </c>
      <c r="AZ20" s="290" t="e">
        <f>(Stoff!$P20*$O20+AX20)*EXP(-('1a. Spredningsmodell input'!$B$46)*AT20)</f>
        <v>#VALUE!</v>
      </c>
      <c r="BA20" s="292" t="e">
        <f>((AY20+AZ20)*1000000000)/('1a. Spredningsmodell input'!$B$45*1000)</f>
        <v>#VALUE!</v>
      </c>
      <c r="BB20" s="294" t="e">
        <f>0.001*BA20/('1a. Spredningsmodell input'!$C$25+'1a. Spredningsmodell input'!$C$26/Mellomregninger!$K20)</f>
        <v>#VALUE!</v>
      </c>
      <c r="BC20" s="294" t="e">
        <f>1000*BB20/$K20+AZ20*1000000000/('1a. Spredningsmodell input'!$B$45*1000)</f>
        <v>#VALUE!</v>
      </c>
      <c r="BD20" s="294" t="e">
        <f t="shared" si="2"/>
        <v>#VALUE!</v>
      </c>
      <c r="BE20" s="294" t="e">
        <f>AZ20*1000000000/('1a. Spredningsmodell input'!$B$45*1000)</f>
        <v>#VALUE!</v>
      </c>
      <c r="BF20" s="295">
        <f t="shared" si="15"/>
        <v>20</v>
      </c>
      <c r="BG20" s="290" t="e">
        <f>($D20-Stoff!$P20*$D20)*EXP(-($F20+Stoff!$L20*365)*BF20)</f>
        <v>#VALUE!</v>
      </c>
      <c r="BH20" s="291" t="e">
        <f>(Stoff!$P20*$D20)*EXP(-'1a. Spredningsmodell input'!$B$43*BF20)</f>
        <v>#VALUE!</v>
      </c>
      <c r="BI20" s="290" t="e">
        <f>($D20-Stoff!$P20*$D20-BG20)*($F20/($F20+Stoff!$L20*365))</f>
        <v>#VALUE!</v>
      </c>
      <c r="BJ20" s="290" t="e">
        <f>(Stoff!$P20*$D20)-BH20</f>
        <v>#VALUE!</v>
      </c>
      <c r="BK20" s="290" t="e">
        <f>($O20+BI20)*EXP(-($N20+Stoff!$M20*365)*BF20)</f>
        <v>#VALUE!</v>
      </c>
      <c r="BL20" s="290" t="e">
        <f>(Stoff!$P20*$O20+BJ20)*EXP(-('1a. Spredningsmodell input'!$B$46)*BF20)</f>
        <v>#VALUE!</v>
      </c>
      <c r="BM20" s="292" t="e">
        <f>((BK20+BL20)*1000000000)/('1a. Spredningsmodell input'!$B$45*1000)</f>
        <v>#VALUE!</v>
      </c>
      <c r="BN20" s="294" t="e">
        <f>0.001*BM20/('1a. Spredningsmodell input'!$C$25+'1a. Spredningsmodell input'!$C$26/Mellomregninger!$K20)</f>
        <v>#VALUE!</v>
      </c>
      <c r="BO20" s="294" t="e">
        <f>1000*BN20/$K20+BL20*1000000000/('1a. Spredningsmodell input'!$B$45*1000)</f>
        <v>#VALUE!</v>
      </c>
      <c r="BP20" s="294" t="e">
        <f t="shared" si="3"/>
        <v>#VALUE!</v>
      </c>
      <c r="BQ20" s="294" t="e">
        <f>BL20*1000000000/('1a. Spredningsmodell input'!$B$45*1000)</f>
        <v>#VALUE!</v>
      </c>
      <c r="BR20" s="295">
        <f t="shared" si="16"/>
        <v>100</v>
      </c>
      <c r="BS20" s="290" t="e">
        <f>($D20-Stoff!$P20*$D20)*EXP(-($F20+Stoff!$L20*365)*BR20)</f>
        <v>#VALUE!</v>
      </c>
      <c r="BT20" s="291" t="e">
        <f>(Stoff!$P20*$D20)*EXP(-'1a. Spredningsmodell input'!$B$43*BR20)</f>
        <v>#VALUE!</v>
      </c>
      <c r="BU20" s="290" t="e">
        <f>($D20-Stoff!$P20*$D20-BS20)*($F20/($F20+Stoff!$L20*365))</f>
        <v>#VALUE!</v>
      </c>
      <c r="BV20" s="290" t="e">
        <f>(Stoff!$P20*$D20)-BT20</f>
        <v>#VALUE!</v>
      </c>
      <c r="BW20" s="290" t="e">
        <f>($O20+BU20)*EXP(-($N20+Stoff!$M20*365)*BR20)</f>
        <v>#VALUE!</v>
      </c>
      <c r="BX20" s="290" t="e">
        <f>(Stoff!$P20*$O20+BV20)*EXP(-('1a. Spredningsmodell input'!$B$46)*BR20)</f>
        <v>#VALUE!</v>
      </c>
      <c r="BY20" s="292" t="e">
        <f>((BW20+BX20)*1000000000)/('1a. Spredningsmodell input'!$B$45*1000)</f>
        <v>#VALUE!</v>
      </c>
      <c r="BZ20" s="294" t="e">
        <f>0.001*BY20/('1a. Spredningsmodell input'!$C$25+'1a. Spredningsmodell input'!$C$26/Mellomregninger!$K20)</f>
        <v>#VALUE!</v>
      </c>
      <c r="CA20" s="294" t="e">
        <f>1000*BZ20/$K20+BX20*1000000000/('1a. Spredningsmodell input'!$B$45*1000)</f>
        <v>#VALUE!</v>
      </c>
      <c r="CB20" s="294" t="e">
        <f t="shared" si="4"/>
        <v>#VALUE!</v>
      </c>
      <c r="CC20" s="294" t="e">
        <f>BX20*1000000000/('1a. Spredningsmodell input'!$B$45*1000)</f>
        <v>#VALUE!</v>
      </c>
      <c r="CD20" s="294" t="e">
        <f>V20+'1a. Spredningsmodell input'!$C$35</f>
        <v>#VALUE!</v>
      </c>
      <c r="CE20" s="294" t="e">
        <f>($S20+$Q20*($O20+$I20*($D20*(1-Stoff!$P20))*(1-EXP(-($F20+Stoff!$L20*365)*CD20)))*(1-EXP(-($N20+Stoff!$M20*365)*CD20)))</f>
        <v>#VALUE!</v>
      </c>
      <c r="CF20" s="294" t="e">
        <f t="shared" si="5"/>
        <v>#VALUE!</v>
      </c>
      <c r="CG20" s="296" t="e">
        <f>(CF20/1000000)*'1a. Spredningsmodell input'!$B$49*'1a. Spredningsmodell input'!$C$35</f>
        <v>#VALUE!</v>
      </c>
      <c r="CH20" s="294" t="e">
        <f t="shared" si="17"/>
        <v>#VALUE!</v>
      </c>
      <c r="CI20" s="290" t="e">
        <f>(CH20/1000000)*'1a. Spredningsmodell input'!$B$49*'1a. Spredningsmodell input'!$C$35</f>
        <v>#VALUE!</v>
      </c>
      <c r="CJ20" s="297" t="e">
        <f>($S20)*EXP(-(Stoff!$N20*365+$U20)*CD20)+CG20</f>
        <v>#VALUE!</v>
      </c>
      <c r="CK20" s="297" t="e">
        <f>(Stoff!$P20*$S20+CI20)*EXP(-$T20*CD20)</f>
        <v>#VALUE!</v>
      </c>
      <c r="CL20" s="297" t="e">
        <f>(CJ20+CK20)*1000000000/('1a. Spredningsmodell input'!$C$36*1000)</f>
        <v>#VALUE!</v>
      </c>
      <c r="CM20" s="297" t="e">
        <f>$G20*(1-EXP(-'1a. Spredningsmodell input'!$B$43*Mellomregninger!CD20))*(1-EXP(-'1a. Spredningsmodell input'!$B$46*Mellomregninger!CD20))</f>
        <v>#VALUE!</v>
      </c>
      <c r="CN20" s="297"/>
      <c r="CO20" s="297"/>
      <c r="CP20" s="290">
        <f>IF(ISNUMBER(AH20),AH20+'1a. Spredningsmodell input'!$C$35,'1a. Spredningsmodell input'!$C$35)</f>
        <v>1</v>
      </c>
      <c r="CQ20" s="294" t="e">
        <f>($S20+$Q20*($O20+$I20*($D20*(1-Stoff!$P20))*(1-EXP(-($F20+Stoff!$L20*365)*CP20)))*(1-EXP(-($N20+Stoff!$M20*365)*CP20)))</f>
        <v>#VALUE!</v>
      </c>
      <c r="CR20" s="294" t="e">
        <f t="shared" si="6"/>
        <v>#VALUE!</v>
      </c>
      <c r="CS20" s="296" t="e">
        <f>(CR20/1000000)*('1a. Spredningsmodell input'!$B$49*'1a. Spredningsmodell input'!$C$35)</f>
        <v>#VALUE!</v>
      </c>
      <c r="CT20" s="294" t="e">
        <f t="shared" si="7"/>
        <v>#VALUE!</v>
      </c>
      <c r="CU20" s="290" t="e">
        <f>(CT20/1000000)*('1a. Spredningsmodell input'!$B$49)*'1a. Spredningsmodell input'!$C$35</f>
        <v>#VALUE!</v>
      </c>
      <c r="CV20" s="297" t="e">
        <f>($S20)*EXP(-(Stoff!$N20*365+$U20)*CP20)+CS20</f>
        <v>#VALUE!</v>
      </c>
      <c r="CW20" s="297" t="e">
        <f>(Stoff!$P20*$S20+CU20)*EXP(-$T20*CP20)</f>
        <v>#VALUE!</v>
      </c>
      <c r="CX20" s="297">
        <f>IF(ISERROR(CV20),0,(CV20+CW20)*1000000000/('1a. Spredningsmodell input'!$C$36*1000))</f>
        <v>0</v>
      </c>
      <c r="CY20" s="297" t="e">
        <f>$G20*(1-EXP(-'1a. Spredningsmodell input'!$B$43*Mellomregninger!CP20))*(1-EXP(-'1a. Spredningsmodell input'!$B$46*Mellomregninger!CP20))</f>
        <v>#VALUE!</v>
      </c>
      <c r="CZ20" s="297"/>
      <c r="DA20" s="297"/>
      <c r="DB20" s="262">
        <f t="shared" si="18"/>
        <v>5</v>
      </c>
      <c r="DC20" s="298" t="e">
        <f>($S20+$Q20*($O20+$I20*($D20*(1-Stoff!$P20))*(1-EXP(-($F20+Stoff!$L20*365)*DB20)))*(1-EXP(-($N20+Stoff!$M20*365)*DB20)))</f>
        <v>#VALUE!</v>
      </c>
      <c r="DD20" s="294" t="e">
        <f t="shared" si="8"/>
        <v>#VALUE!</v>
      </c>
      <c r="DE20" s="296" t="e">
        <f>(DD20/1000000)*('1a. Spredningsmodell input'!$B$49)*'1a. Spredningsmodell input'!$C$35</f>
        <v>#VALUE!</v>
      </c>
      <c r="DF20" s="294" t="e">
        <f t="shared" si="19"/>
        <v>#VALUE!</v>
      </c>
      <c r="DG20" s="290" t="e">
        <f>(DF20/1000000)*('1a. Spredningsmodell input'!$B$49)*'1a. Spredningsmodell input'!$C$35</f>
        <v>#VALUE!</v>
      </c>
      <c r="DH20" s="297" t="e">
        <f>($S20)*EXP(-(Stoff!$N20*365+$U20)*DB20)+DE20</f>
        <v>#VALUE!</v>
      </c>
      <c r="DI20" s="297" t="e">
        <f>(Stoff!$P20*$S20+DG20)*EXP(-$T20*DB20)</f>
        <v>#VALUE!</v>
      </c>
      <c r="DJ20" s="297" t="e">
        <f>(DH20+DI20)*1000000000/('1a. Spredningsmodell input'!$C$36*1000)</f>
        <v>#VALUE!</v>
      </c>
      <c r="DK20" s="297" t="e">
        <f>$G20*(1-EXP(-'1a. Spredningsmodell input'!$B$43*Mellomregninger!DB20))*(1-EXP(-'1a. Spredningsmodell input'!$B$46*Mellomregninger!DB20))</f>
        <v>#VALUE!</v>
      </c>
      <c r="DL20" s="297"/>
      <c r="DM20" s="297"/>
      <c r="DN20" s="262">
        <f t="shared" si="20"/>
        <v>20</v>
      </c>
      <c r="DO20" s="298" t="e">
        <f>($S20+$Q20*($O20+$I20*($D20*(1-Stoff!$P20))*(1-EXP(-($F20+Stoff!$L20*365)*DN20)))*(1-EXP(-($N20+Stoff!$M20*365)*DN20)))</f>
        <v>#VALUE!</v>
      </c>
      <c r="DP20" s="294" t="e">
        <f t="shared" si="21"/>
        <v>#VALUE!</v>
      </c>
      <c r="DQ20" s="296" t="e">
        <f>(DP20/1000000)*('1a. Spredningsmodell input'!$B$49)*'1a. Spredningsmodell input'!$C$35</f>
        <v>#VALUE!</v>
      </c>
      <c r="DR20" s="294" t="e">
        <f t="shared" si="9"/>
        <v>#VALUE!</v>
      </c>
      <c r="DS20" s="290" t="e">
        <f>(DR20/1000000)*('1a. Spredningsmodell input'!$B$49)*'1a. Spredningsmodell input'!$C$35</f>
        <v>#VALUE!</v>
      </c>
      <c r="DT20" s="297" t="e">
        <f>($S20)*EXP(-(Stoff!$N20*365+$U20)*DN20)+DQ20</f>
        <v>#VALUE!</v>
      </c>
      <c r="DU20" s="297" t="e">
        <f>(Stoff!$P20*$S20+DS20)*EXP(-$T20*DN20)</f>
        <v>#VALUE!</v>
      </c>
      <c r="DV20" s="297" t="e">
        <f>(DT20+DU20)*1000000000/('1a. Spredningsmodell input'!$C$36*1000)</f>
        <v>#VALUE!</v>
      </c>
      <c r="DW20" s="297" t="e">
        <f>$G20*(1-EXP(-'1a. Spredningsmodell input'!$B$43*Mellomregninger!DN20))*(1-EXP(-'1a. Spredningsmodell input'!$B$46*Mellomregninger!DN20))</f>
        <v>#VALUE!</v>
      </c>
      <c r="DX20" s="297"/>
      <c r="DY20" s="297"/>
      <c r="DZ20" s="262">
        <f t="shared" si="22"/>
        <v>100</v>
      </c>
      <c r="EA20" s="298" t="e">
        <f>($S20+$Q20*($O20+$I20*($D20*(1-Stoff!$P20))*(1-EXP(-($F20+Stoff!$L20*365)*DZ20)))*(1-EXP(-($N20+Stoff!$M20*365)*DZ20)))</f>
        <v>#VALUE!</v>
      </c>
      <c r="EB20" s="294" t="e">
        <f t="shared" si="10"/>
        <v>#VALUE!</v>
      </c>
      <c r="EC20" s="296" t="e">
        <f>(EB20/1000000)*('1a. Spredningsmodell input'!$B$49)*'1a. Spredningsmodell input'!$C$35</f>
        <v>#VALUE!</v>
      </c>
      <c r="ED20" s="294" t="e">
        <f t="shared" si="11"/>
        <v>#VALUE!</v>
      </c>
      <c r="EE20" s="290" t="e">
        <f>(ED20/1000000)*('1a. Spredningsmodell input'!$B$49)*'1a. Spredningsmodell input'!$C$35</f>
        <v>#VALUE!</v>
      </c>
      <c r="EF20" s="297" t="e">
        <f>($S20)*EXP(-(Stoff!$N20*365+$U20)*DZ20)+EC20</f>
        <v>#VALUE!</v>
      </c>
      <c r="EG20" s="297" t="e">
        <f>(Stoff!$P20*$S20+EE20)*EXP(-$T20*DZ20)</f>
        <v>#VALUE!</v>
      </c>
      <c r="EH20" s="297" t="e">
        <f>(EF20+EG20)*1000000000/('1a. Spredningsmodell input'!$C$36*1000)</f>
        <v>#VALUE!</v>
      </c>
      <c r="EI20" s="297" t="e">
        <f>$G20*(1-EXP(-'1a. Spredningsmodell input'!$B$43*Mellomregninger!DZ20))*(1-EXP(-'1a. Spredningsmodell input'!$B$46*Mellomregninger!DZ20))</f>
        <v>#VALUE!</v>
      </c>
      <c r="EJ20" s="297"/>
      <c r="EK20" s="297"/>
      <c r="EL20" s="262">
        <f t="shared" si="23"/>
        <v>1.0000000000000001E+25</v>
      </c>
      <c r="EM20" s="294" t="e">
        <f>($S20+$Q20*($O20+$I20*($D20*(1-Stoff!$P20))*(1-EXP(-($F20+Stoff!$L20*365)*EL20)))*(1-EXP(-($N20+Stoff!$M20*365)*EL20)))</f>
        <v>#VALUE!</v>
      </c>
      <c r="EN20" s="296" t="e">
        <f>($S20+$Q20*($O20+$I20*($D20*(1-Stoff!$P20))*(1-EXP(-($F20+Stoff!$L20*365)*(EL20-'1a. Spredningsmodell input'!$C$35))))*(1-EXP(-($N20+Stoff!$M20*365)*(EL20-'1a. Spredningsmodell input'!$C$35))))</f>
        <v>#VALUE!</v>
      </c>
      <c r="EO20" s="294" t="e">
        <f>IF(EL20&lt;'1a. Spredningsmodell input'!$C$35,EM20-($S20)*EXP(-(Stoff!$N20*365+$U20)*EL20),EM20-EN20)</f>
        <v>#VALUE!</v>
      </c>
      <c r="EP20" s="290" t="e">
        <f>((($D20*(Stoff!$P20))*(1-EXP(-'1a. Spredningsmodell input'!$B$43*EL20)))*(1-EXP(-'1a. Spredningsmodell input'!$B$46*EL20)))</f>
        <v>#VALUE!</v>
      </c>
      <c r="EQ20" s="294" t="e">
        <f>((($D20*(Stoff!$P20))*(1-EXP(-'1a. Spredningsmodell input'!$B$43*(EL20-'1a. Spredningsmodell input'!$C$35))))*(1-EXP(-'1a. Spredningsmodell input'!$B$46*(EL20-'1a. Spredningsmodell input'!$C$35))))</f>
        <v>#VALUE!</v>
      </c>
      <c r="ER20" s="290" t="e">
        <f>IF(EL20&lt;'1a. Spredningsmodell input'!$C$35,0,EP20-EQ20)</f>
        <v>#VALUE!</v>
      </c>
      <c r="ES20" s="297" t="e">
        <f>($S20)*EXP(-(Stoff!$N20*365+$U20)*EL20)+EO20</f>
        <v>#VALUE!</v>
      </c>
      <c r="ET20" s="297" t="e">
        <f>(Stoff!$P20*$S20+ER20)*EXP(-$T20*EL20)</f>
        <v>#VALUE!</v>
      </c>
      <c r="EU20" s="297" t="e">
        <f>(ES20+ET20)*1000000000/('1a. Spredningsmodell input'!$C$36*1000)</f>
        <v>#VALUE!</v>
      </c>
      <c r="EV20" s="262" t="e">
        <f t="shared" si="12"/>
        <v>#VALUE!</v>
      </c>
      <c r="EW20" s="299" t="e">
        <f t="shared" si="13"/>
        <v>#VALUE!</v>
      </c>
      <c r="EX20" s="262" t="e">
        <f t="shared" si="24"/>
        <v>#VALUE!</v>
      </c>
    </row>
    <row r="21" spans="1:154" x14ac:dyDescent="0.35">
      <c r="A21" s="50" t="s">
        <v>189</v>
      </c>
      <c r="B21" s="34" t="str">
        <f>IF(ISNUMBER('1c. Kons. porevann'!E21),1000*'1c. Kons. porevann'!E21,IF(ISNUMBER('1b. Kons. umettet jord'!E21),1000*'1b. Kons. umettet jord'!E21/C21,""))</f>
        <v/>
      </c>
      <c r="C21" s="244">
        <f>IF(Stoff!B21="uorganisk",Stoff!C21,Stoff!D21*'1a. Spredningsmodell input'!$C$11)</f>
        <v>14</v>
      </c>
      <c r="D21" s="34" t="str">
        <f>IF(ISNUMBER(B21),0.000001*('1b. Kons. umettet jord'!G21*'1a. Spredningsmodell input'!$C$12+B21*0.001*'1a. Spredningsmodell input'!$C$14)*1000*'1a. Spredningsmodell input'!$B$41*'1a. Spredningsmodell input'!$C$18,"")</f>
        <v/>
      </c>
      <c r="E21" s="283">
        <f>C21*'1a. Spredningsmodell input'!$C$12/'1a. Spredningsmodell input'!$C$14+1</f>
        <v>120</v>
      </c>
      <c r="F21" s="284">
        <f>'1a. Spredningsmodell input'!$B$43/E21</f>
        <v>1.2499999999999999E-2</v>
      </c>
      <c r="G21" s="34" t="e">
        <f>Stoff!P21*Mellomregninger!D21</f>
        <v>#VALUE!</v>
      </c>
      <c r="H21" s="283" t="e">
        <f>(D21-G21)*(F21/(F21+Stoff!L21))</f>
        <v>#VALUE!</v>
      </c>
      <c r="I21" s="283">
        <f>F21/(F21+Stoff!L21)</f>
        <v>1</v>
      </c>
      <c r="J21" s="285" t="str">
        <f>IF(B21="","",IF(ISNUMBER('1d. Kons. mettet sone'!E21),'1d. Kons. mettet sone'!E21,IF(ISNUMBER('1e. Kons. grunnvann'!E21),'1e. Kons. grunnvann'!E21*Mellomregninger!K21,0)))</f>
        <v/>
      </c>
      <c r="K21" s="286">
        <f>IF(Stoff!B21="uorganisk",Stoff!C21,Stoff!D21*'1a. Spredningsmodell input'!$C$24)</f>
        <v>1.4000000000000001</v>
      </c>
      <c r="L21" s="27" t="e">
        <f>IF(ISNUMBER('1e. Kons. grunnvann'!E21),1000*'1e. Kons. grunnvann'!E21,1000*J21/K21)</f>
        <v>#VALUE!</v>
      </c>
      <c r="M21" s="34">
        <f>K21*'1a. Spredningsmodell input'!$C$25/'1a. Spredningsmodell input'!$C$26+1</f>
        <v>6.95</v>
      </c>
      <c r="N21" s="284">
        <f>'1a. Spredningsmodell input'!$C$26/M21</f>
        <v>5.7553956834532377E-2</v>
      </c>
      <c r="O21" s="287" t="e">
        <f>0.000000001*(J21*'1a. Spredningsmodell input'!$C$25+L21)*1000*'1a. Spredningsmodell input'!$B$45</f>
        <v>#VALUE!</v>
      </c>
      <c r="P21" s="287" t="e">
        <f>O21*Stoff!P21</f>
        <v>#VALUE!</v>
      </c>
      <c r="Q21" s="287">
        <f>N21/(N21+Stoff!M21)</f>
        <v>1</v>
      </c>
      <c r="R21" s="288">
        <f>IF(ISNUMBER('1f. Kons. resipient'!E21),'1f. Kons. resipient'!E21,0)</f>
        <v>0</v>
      </c>
      <c r="S21" s="288">
        <f>0.000000001*'1a. Spredningsmodell input'!$C$36*R21*1000</f>
        <v>0</v>
      </c>
      <c r="T21" s="288">
        <f>1/'1a. Spredningsmodell input'!$C$35</f>
        <v>1</v>
      </c>
      <c r="U21" s="288">
        <f>1/'1a. Spredningsmodell input'!$C$35</f>
        <v>1</v>
      </c>
      <c r="V21" s="300" t="e">
        <f>(1/($N21+Stoff!$L21))*(LN(($D21*$I21/($D21*$I21+$J21))*($F21+Stoff!$L21+$N21+Stoff!$M21)/($N21+Stoff!$M21)))</f>
        <v>#VALUE!</v>
      </c>
      <c r="W21" s="290" t="e">
        <f>($D21-Stoff!$P21*$D21)*EXP(-($F21+Stoff!$L21*365)*V21)</f>
        <v>#VALUE!</v>
      </c>
      <c r="X21" s="291" t="e">
        <f>(Stoff!$P21*$D21)*EXP(-'1a. Spredningsmodell input'!$B$43*V21)</f>
        <v>#VALUE!</v>
      </c>
      <c r="Y21" s="290" t="e">
        <f>($D21-Stoff!$P21*$D21-W21)*($F21/($F21+Stoff!$L21*365))</f>
        <v>#VALUE!</v>
      </c>
      <c r="Z21" s="290" t="e">
        <f>(Stoff!$P21*$D21)-X21</f>
        <v>#VALUE!</v>
      </c>
      <c r="AA21" s="290" t="e">
        <f>($O21+Y21)*EXP(-($N21+Stoff!$M21*365)*V21)</f>
        <v>#VALUE!</v>
      </c>
      <c r="AB21" s="290" t="e">
        <f>(Stoff!$P21*$O21+Z21)*EXP(-('1a. Spredningsmodell input'!$B$46)*V21)</f>
        <v>#VALUE!</v>
      </c>
      <c r="AC21" s="292" t="e">
        <f>((AA21+AB21)*1000000000)/('1a. Spredningsmodell input'!$B$45*1000)</f>
        <v>#VALUE!</v>
      </c>
      <c r="AD21" s="294" t="e">
        <f>0.001*AC21/('1a. Spredningsmodell input'!$C$25+'1a. Spredningsmodell input'!$C$26/Mellomregninger!$K21)</f>
        <v>#VALUE!</v>
      </c>
      <c r="AE21" s="294" t="e">
        <f>1000*AD21/$K21+AB21*1000000000/('1a. Spredningsmodell input'!$B$45*1000)</f>
        <v>#VALUE!</v>
      </c>
      <c r="AF21" s="294" t="e">
        <f t="shared" si="0"/>
        <v>#VALUE!</v>
      </c>
      <c r="AG21" s="294" t="e">
        <f>AB21*1000000000/('1a. Spredningsmodell input'!$B$45*1000)</f>
        <v>#VALUE!</v>
      </c>
      <c r="AH21" s="300" t="e">
        <f>(1/('1a. Spredningsmodell input'!$B$46))*(LN(($D21*Stoff!$P21/($D21*Stoff!$P21+$P21*Stoff!$P21))*('1a. Spredningsmodell input'!$B$43+'1a. Spredningsmodell input'!$B$46)/('1a. Spredningsmodell input'!$B$46)))</f>
        <v>#VALUE!</v>
      </c>
      <c r="AI21" s="290" t="e">
        <f>($D21-Stoff!$P21*$D21)*EXP(-($F21+Stoff!$L21*365)*AH21)</f>
        <v>#VALUE!</v>
      </c>
      <c r="AJ21" s="291" t="e">
        <f>(Stoff!$P21*$D21)*EXP(-'1a. Spredningsmodell input'!$B$43*AH21)</f>
        <v>#VALUE!</v>
      </c>
      <c r="AK21" s="290" t="e">
        <f>($D21-Stoff!$P21*$D21-AI21)*($F21/($F21+Stoff!$L21*365))</f>
        <v>#VALUE!</v>
      </c>
      <c r="AL21" s="290" t="e">
        <f>(Stoff!$P21*$D21)-AJ21</f>
        <v>#VALUE!</v>
      </c>
      <c r="AM21" s="290" t="e">
        <f>($O21+AK21)*EXP(-($N21+Stoff!$M21*365)*AH21)</f>
        <v>#VALUE!</v>
      </c>
      <c r="AN21" s="290" t="e">
        <f>(Stoff!$P21*$O21+AL21)*EXP(-('1a. Spredningsmodell input'!$B$46)*AH21)</f>
        <v>#VALUE!</v>
      </c>
      <c r="AO21" s="292" t="e">
        <f>((AM21+AN21)*1000000000)/('1a. Spredningsmodell input'!$B$45*1000)</f>
        <v>#VALUE!</v>
      </c>
      <c r="AP21" s="294" t="e">
        <f>0.001*AO21/('1a. Spredningsmodell input'!$C$25+'1a. Spredningsmodell input'!$C$26/Mellomregninger!$K21)</f>
        <v>#VALUE!</v>
      </c>
      <c r="AQ21" s="294" t="e">
        <f>1000*AP21/$K21+AN21*1000000000/('1a. Spredningsmodell input'!$B$45*1000)</f>
        <v>#VALUE!</v>
      </c>
      <c r="AR21" s="294" t="e">
        <f t="shared" si="1"/>
        <v>#VALUE!</v>
      </c>
      <c r="AS21" s="294" t="e">
        <f>AN21*1000000000/('1a. Spredningsmodell input'!$B$45*1000)</f>
        <v>#VALUE!</v>
      </c>
      <c r="AT21" s="295">
        <f t="shared" si="14"/>
        <v>5</v>
      </c>
      <c r="AU21" s="290" t="e">
        <f>($D21-Stoff!$P21*$D21)*EXP(-($F21+Stoff!$L21*365)*AT21)</f>
        <v>#VALUE!</v>
      </c>
      <c r="AV21" s="291" t="e">
        <f>(Stoff!$P21*$D21)*EXP(-'1a. Spredningsmodell input'!$B$43*AT21)</f>
        <v>#VALUE!</v>
      </c>
      <c r="AW21" s="290" t="e">
        <f>($D21-Stoff!$P21*$D21-AU21)*($F21/($F21+Stoff!$L21*365))</f>
        <v>#VALUE!</v>
      </c>
      <c r="AX21" s="290" t="e">
        <f>(Stoff!$P21*$D21)-AV21</f>
        <v>#VALUE!</v>
      </c>
      <c r="AY21" s="290" t="e">
        <f>($O21+AW21)*EXP(-($N21+Stoff!$M21*365)*AT21)</f>
        <v>#VALUE!</v>
      </c>
      <c r="AZ21" s="290" t="e">
        <f>(Stoff!$P21*$O21+AX21)*EXP(-('1a. Spredningsmodell input'!$B$46)*AT21)</f>
        <v>#VALUE!</v>
      </c>
      <c r="BA21" s="292" t="e">
        <f>((AY21+AZ21)*1000000000)/('1a. Spredningsmodell input'!$B$45*1000)</f>
        <v>#VALUE!</v>
      </c>
      <c r="BB21" s="294" t="e">
        <f>0.001*BA21/('1a. Spredningsmodell input'!$C$25+'1a. Spredningsmodell input'!$C$26/Mellomregninger!$K21)</f>
        <v>#VALUE!</v>
      </c>
      <c r="BC21" s="294" t="e">
        <f>1000*BB21/$K21+AZ21*1000000000/('1a. Spredningsmodell input'!$B$45*1000)</f>
        <v>#VALUE!</v>
      </c>
      <c r="BD21" s="294" t="e">
        <f t="shared" si="2"/>
        <v>#VALUE!</v>
      </c>
      <c r="BE21" s="294" t="e">
        <f>AZ21*1000000000/('1a. Spredningsmodell input'!$B$45*1000)</f>
        <v>#VALUE!</v>
      </c>
      <c r="BF21" s="295">
        <f t="shared" si="15"/>
        <v>20</v>
      </c>
      <c r="BG21" s="290" t="e">
        <f>($D21-Stoff!$P21*$D21)*EXP(-($F21+Stoff!$L21*365)*BF21)</f>
        <v>#VALUE!</v>
      </c>
      <c r="BH21" s="291" t="e">
        <f>(Stoff!$P21*$D21)*EXP(-'1a. Spredningsmodell input'!$B$43*BF21)</f>
        <v>#VALUE!</v>
      </c>
      <c r="BI21" s="290" t="e">
        <f>($D21-Stoff!$P21*$D21-BG21)*($F21/($F21+Stoff!$L21*365))</f>
        <v>#VALUE!</v>
      </c>
      <c r="BJ21" s="290" t="e">
        <f>(Stoff!$P21*$D21)-BH21</f>
        <v>#VALUE!</v>
      </c>
      <c r="BK21" s="290" t="e">
        <f>($O21+BI21)*EXP(-($N21+Stoff!$M21*365)*BF21)</f>
        <v>#VALUE!</v>
      </c>
      <c r="BL21" s="290" t="e">
        <f>(Stoff!$P21*$O21+BJ21)*EXP(-('1a. Spredningsmodell input'!$B$46)*BF21)</f>
        <v>#VALUE!</v>
      </c>
      <c r="BM21" s="292" t="e">
        <f>((BK21+BL21)*1000000000)/('1a. Spredningsmodell input'!$B$45*1000)</f>
        <v>#VALUE!</v>
      </c>
      <c r="BN21" s="294" t="e">
        <f>0.001*BM21/('1a. Spredningsmodell input'!$C$25+'1a. Spredningsmodell input'!$C$26/Mellomregninger!$K21)</f>
        <v>#VALUE!</v>
      </c>
      <c r="BO21" s="294" t="e">
        <f>1000*BN21/$K21+BL21*1000000000/('1a. Spredningsmodell input'!$B$45*1000)</f>
        <v>#VALUE!</v>
      </c>
      <c r="BP21" s="294" t="e">
        <f t="shared" si="3"/>
        <v>#VALUE!</v>
      </c>
      <c r="BQ21" s="294" t="e">
        <f>BL21*1000000000/('1a. Spredningsmodell input'!$B$45*1000)</f>
        <v>#VALUE!</v>
      </c>
      <c r="BR21" s="295">
        <f t="shared" si="16"/>
        <v>100</v>
      </c>
      <c r="BS21" s="290" t="e">
        <f>($D21-Stoff!$P21*$D21)*EXP(-($F21+Stoff!$L21*365)*BR21)</f>
        <v>#VALUE!</v>
      </c>
      <c r="BT21" s="291" t="e">
        <f>(Stoff!$P21*$D21)*EXP(-'1a. Spredningsmodell input'!$B$43*BR21)</f>
        <v>#VALUE!</v>
      </c>
      <c r="BU21" s="290" t="e">
        <f>($D21-Stoff!$P21*$D21-BS21)*($F21/($F21+Stoff!$L21*365))</f>
        <v>#VALUE!</v>
      </c>
      <c r="BV21" s="290" t="e">
        <f>(Stoff!$P21*$D21)-BT21</f>
        <v>#VALUE!</v>
      </c>
      <c r="BW21" s="290" t="e">
        <f>($O21+BU21)*EXP(-($N21+Stoff!$M21*365)*BR21)</f>
        <v>#VALUE!</v>
      </c>
      <c r="BX21" s="290" t="e">
        <f>(Stoff!$P21*$O21+BV21)*EXP(-('1a. Spredningsmodell input'!$B$46)*BR21)</f>
        <v>#VALUE!</v>
      </c>
      <c r="BY21" s="292" t="e">
        <f>((BW21+BX21)*1000000000)/('1a. Spredningsmodell input'!$B$45*1000)</f>
        <v>#VALUE!</v>
      </c>
      <c r="BZ21" s="294" t="e">
        <f>0.001*BY21/('1a. Spredningsmodell input'!$C$25+'1a. Spredningsmodell input'!$C$26/Mellomregninger!$K21)</f>
        <v>#VALUE!</v>
      </c>
      <c r="CA21" s="294" t="e">
        <f>1000*BZ21/$K21+BX21*1000000000/('1a. Spredningsmodell input'!$B$45*1000)</f>
        <v>#VALUE!</v>
      </c>
      <c r="CB21" s="294" t="e">
        <f t="shared" si="4"/>
        <v>#VALUE!</v>
      </c>
      <c r="CC21" s="294" t="e">
        <f>BX21*1000000000/('1a. Spredningsmodell input'!$B$45*1000)</f>
        <v>#VALUE!</v>
      </c>
      <c r="CD21" s="294" t="e">
        <f>V21+'1a. Spredningsmodell input'!$C$35</f>
        <v>#VALUE!</v>
      </c>
      <c r="CE21" s="294" t="e">
        <f>($S21+$Q21*($O21+$I21*($D21*(1-Stoff!$P21))*(1-EXP(-($F21+Stoff!$L21*365)*CD21)))*(1-EXP(-($N21+Stoff!$M21*365)*CD21)))</f>
        <v>#VALUE!</v>
      </c>
      <c r="CF21" s="294" t="e">
        <f t="shared" si="5"/>
        <v>#VALUE!</v>
      </c>
      <c r="CG21" s="296" t="e">
        <f>(CF21/1000000)*'1a. Spredningsmodell input'!$B$49*'1a. Spredningsmodell input'!$C$35</f>
        <v>#VALUE!</v>
      </c>
      <c r="CH21" s="294" t="e">
        <f t="shared" si="17"/>
        <v>#VALUE!</v>
      </c>
      <c r="CI21" s="290" t="e">
        <f>(CH21/1000000)*'1a. Spredningsmodell input'!$B$49*'1a. Spredningsmodell input'!$C$35</f>
        <v>#VALUE!</v>
      </c>
      <c r="CJ21" s="297" t="e">
        <f>($S21)*EXP(-(Stoff!$N21*365+$U21)*CD21)+CG21</f>
        <v>#VALUE!</v>
      </c>
      <c r="CK21" s="297" t="e">
        <f>(Stoff!$P21*$S21+CI21)*EXP(-$T21*CD21)</f>
        <v>#VALUE!</v>
      </c>
      <c r="CL21" s="297" t="e">
        <f>(CJ21+CK21)*1000000000/('1a. Spredningsmodell input'!$C$36*1000)</f>
        <v>#VALUE!</v>
      </c>
      <c r="CM21" s="297" t="e">
        <f>$G21*(1-EXP(-'1a. Spredningsmodell input'!$B$43*Mellomregninger!CD21))*(1-EXP(-'1a. Spredningsmodell input'!$B$46*Mellomregninger!CD21))</f>
        <v>#VALUE!</v>
      </c>
      <c r="CN21" s="297"/>
      <c r="CO21" s="297"/>
      <c r="CP21" s="290">
        <f>IF(ISNUMBER(AH21),AH21+'1a. Spredningsmodell input'!$C$35,'1a. Spredningsmodell input'!$C$35)</f>
        <v>1</v>
      </c>
      <c r="CQ21" s="294" t="e">
        <f>($S21+$Q21*($O21+$I21*($D21*(1-Stoff!$P21))*(1-EXP(-($F21+Stoff!$L21*365)*CP21)))*(1-EXP(-($N21+Stoff!$M21*365)*CP21)))</f>
        <v>#VALUE!</v>
      </c>
      <c r="CR21" s="294" t="e">
        <f t="shared" si="6"/>
        <v>#VALUE!</v>
      </c>
      <c r="CS21" s="296" t="e">
        <f>(CR21/1000000)*('1a. Spredningsmodell input'!$B$49*'1a. Spredningsmodell input'!$C$35)</f>
        <v>#VALUE!</v>
      </c>
      <c r="CT21" s="294" t="e">
        <f t="shared" si="7"/>
        <v>#VALUE!</v>
      </c>
      <c r="CU21" s="290" t="e">
        <f>(CT21/1000000)*('1a. Spredningsmodell input'!$B$49)*'1a. Spredningsmodell input'!$C$35</f>
        <v>#VALUE!</v>
      </c>
      <c r="CV21" s="297" t="e">
        <f>($S21)*EXP(-(Stoff!$N21*365+$U21)*CP21)+CS21</f>
        <v>#VALUE!</v>
      </c>
      <c r="CW21" s="297" t="e">
        <f>(Stoff!$P21*$S21+CU21)*EXP(-$T21*CP21)</f>
        <v>#VALUE!</v>
      </c>
      <c r="CX21" s="297">
        <f>IF(ISERROR(CV21),0,(CV21+CW21)*1000000000/('1a. Spredningsmodell input'!$C$36*1000))</f>
        <v>0</v>
      </c>
      <c r="CY21" s="297" t="e">
        <f>$G21*(1-EXP(-'1a. Spredningsmodell input'!$B$43*Mellomregninger!CP21))*(1-EXP(-'1a. Spredningsmodell input'!$B$46*Mellomregninger!CP21))</f>
        <v>#VALUE!</v>
      </c>
      <c r="CZ21" s="297"/>
      <c r="DA21" s="297"/>
      <c r="DB21" s="262">
        <f t="shared" si="18"/>
        <v>5</v>
      </c>
      <c r="DC21" s="298" t="e">
        <f>($S21+$Q21*($O21+$I21*($D21*(1-Stoff!$P21))*(1-EXP(-($F21+Stoff!$L21*365)*DB21)))*(1-EXP(-($N21+Stoff!$M21*365)*DB21)))</f>
        <v>#VALUE!</v>
      </c>
      <c r="DD21" s="294" t="e">
        <f t="shared" si="8"/>
        <v>#VALUE!</v>
      </c>
      <c r="DE21" s="296" t="e">
        <f>(DD21/1000000)*('1a. Spredningsmodell input'!$B$49)*'1a. Spredningsmodell input'!$C$35</f>
        <v>#VALUE!</v>
      </c>
      <c r="DF21" s="294" t="e">
        <f t="shared" si="19"/>
        <v>#VALUE!</v>
      </c>
      <c r="DG21" s="290" t="e">
        <f>(DF21/1000000)*('1a. Spredningsmodell input'!$B$49)*'1a. Spredningsmodell input'!$C$35</f>
        <v>#VALUE!</v>
      </c>
      <c r="DH21" s="297" t="e">
        <f>($S21)*EXP(-(Stoff!$N21*365+$U21)*DB21)+DE21</f>
        <v>#VALUE!</v>
      </c>
      <c r="DI21" s="297" t="e">
        <f>(Stoff!$P21*$S21+DG21)*EXP(-$T21*DB21)</f>
        <v>#VALUE!</v>
      </c>
      <c r="DJ21" s="297" t="e">
        <f>(DH21+DI21)*1000000000/('1a. Spredningsmodell input'!$C$36*1000)</f>
        <v>#VALUE!</v>
      </c>
      <c r="DK21" s="297" t="e">
        <f>$G21*(1-EXP(-'1a. Spredningsmodell input'!$B$43*Mellomregninger!DB21))*(1-EXP(-'1a. Spredningsmodell input'!$B$46*Mellomregninger!DB21))</f>
        <v>#VALUE!</v>
      </c>
      <c r="DL21" s="297"/>
      <c r="DM21" s="297"/>
      <c r="DN21" s="262">
        <f t="shared" si="20"/>
        <v>20</v>
      </c>
      <c r="DO21" s="298" t="e">
        <f>($S21+$Q21*($O21+$I21*($D21*(1-Stoff!$P21))*(1-EXP(-($F21+Stoff!$L21*365)*DN21)))*(1-EXP(-($N21+Stoff!$M21*365)*DN21)))</f>
        <v>#VALUE!</v>
      </c>
      <c r="DP21" s="294" t="e">
        <f t="shared" si="21"/>
        <v>#VALUE!</v>
      </c>
      <c r="DQ21" s="296" t="e">
        <f>(DP21/1000000)*('1a. Spredningsmodell input'!$B$49)*'1a. Spredningsmodell input'!$C$35</f>
        <v>#VALUE!</v>
      </c>
      <c r="DR21" s="294" t="e">
        <f t="shared" si="9"/>
        <v>#VALUE!</v>
      </c>
      <c r="DS21" s="290" t="e">
        <f>(DR21/1000000)*('1a. Spredningsmodell input'!$B$49)*'1a. Spredningsmodell input'!$C$35</f>
        <v>#VALUE!</v>
      </c>
      <c r="DT21" s="297" t="e">
        <f>($S21)*EXP(-(Stoff!$N21*365+$U21)*DN21)+DQ21</f>
        <v>#VALUE!</v>
      </c>
      <c r="DU21" s="297" t="e">
        <f>(Stoff!$P21*$S21+DS21)*EXP(-$T21*DN21)</f>
        <v>#VALUE!</v>
      </c>
      <c r="DV21" s="297" t="e">
        <f>(DT21+DU21)*1000000000/('1a. Spredningsmodell input'!$C$36*1000)</f>
        <v>#VALUE!</v>
      </c>
      <c r="DW21" s="297" t="e">
        <f>$G21*(1-EXP(-'1a. Spredningsmodell input'!$B$43*Mellomregninger!DN21))*(1-EXP(-'1a. Spredningsmodell input'!$B$46*Mellomregninger!DN21))</f>
        <v>#VALUE!</v>
      </c>
      <c r="DX21" s="297"/>
      <c r="DY21" s="297"/>
      <c r="DZ21" s="262">
        <f t="shared" si="22"/>
        <v>100</v>
      </c>
      <c r="EA21" s="298" t="e">
        <f>($S21+$Q21*($O21+$I21*($D21*(1-Stoff!$P21))*(1-EXP(-($F21+Stoff!$L21*365)*DZ21)))*(1-EXP(-($N21+Stoff!$M21*365)*DZ21)))</f>
        <v>#VALUE!</v>
      </c>
      <c r="EB21" s="294" t="e">
        <f t="shared" si="10"/>
        <v>#VALUE!</v>
      </c>
      <c r="EC21" s="296" t="e">
        <f>(EB21/1000000)*('1a. Spredningsmodell input'!$B$49)*'1a. Spredningsmodell input'!$C$35</f>
        <v>#VALUE!</v>
      </c>
      <c r="ED21" s="294" t="e">
        <f t="shared" si="11"/>
        <v>#VALUE!</v>
      </c>
      <c r="EE21" s="290" t="e">
        <f>(ED21/1000000)*('1a. Spredningsmodell input'!$B$49)*'1a. Spredningsmodell input'!$C$35</f>
        <v>#VALUE!</v>
      </c>
      <c r="EF21" s="297" t="e">
        <f>($S21)*EXP(-(Stoff!$N21*365+$U21)*DZ21)+EC21</f>
        <v>#VALUE!</v>
      </c>
      <c r="EG21" s="297" t="e">
        <f>(Stoff!$P21*$S21+EE21)*EXP(-$T21*DZ21)</f>
        <v>#VALUE!</v>
      </c>
      <c r="EH21" s="297" t="e">
        <f>(EF21+EG21)*1000000000/('1a. Spredningsmodell input'!$C$36*1000)</f>
        <v>#VALUE!</v>
      </c>
      <c r="EI21" s="297" t="e">
        <f>$G21*(1-EXP(-'1a. Spredningsmodell input'!$B$43*Mellomregninger!DZ21))*(1-EXP(-'1a. Spredningsmodell input'!$B$46*Mellomregninger!DZ21))</f>
        <v>#VALUE!</v>
      </c>
      <c r="EJ21" s="297"/>
      <c r="EK21" s="297"/>
      <c r="EL21" s="262">
        <f t="shared" si="23"/>
        <v>1.0000000000000001E+25</v>
      </c>
      <c r="EM21" s="294" t="e">
        <f>($S21+$Q21*($O21+$I21*($D21*(1-Stoff!$P21))*(1-EXP(-($F21+Stoff!$L21*365)*EL21)))*(1-EXP(-($N21+Stoff!$M21*365)*EL21)))</f>
        <v>#VALUE!</v>
      </c>
      <c r="EN21" s="296" t="e">
        <f>($S21+$Q21*($O21+$I21*($D21*(1-Stoff!$P21))*(1-EXP(-($F21+Stoff!$L21*365)*(EL21-'1a. Spredningsmodell input'!$C$35))))*(1-EXP(-($N21+Stoff!$M21*365)*(EL21-'1a. Spredningsmodell input'!$C$35))))</f>
        <v>#VALUE!</v>
      </c>
      <c r="EO21" s="294" t="e">
        <f>IF(EL21&lt;'1a. Spredningsmodell input'!$C$35,EM21-($S21)*EXP(-(Stoff!$N21*365+$U21)*EL21),EM21-EN21)</f>
        <v>#VALUE!</v>
      </c>
      <c r="EP21" s="290" t="e">
        <f>((($D21*(Stoff!$P21))*(1-EXP(-'1a. Spredningsmodell input'!$B$43*EL21)))*(1-EXP(-'1a. Spredningsmodell input'!$B$46*EL21)))</f>
        <v>#VALUE!</v>
      </c>
      <c r="EQ21" s="294" t="e">
        <f>((($D21*(Stoff!$P21))*(1-EXP(-'1a. Spredningsmodell input'!$B$43*(EL21-'1a. Spredningsmodell input'!$C$35))))*(1-EXP(-'1a. Spredningsmodell input'!$B$46*(EL21-'1a. Spredningsmodell input'!$C$35))))</f>
        <v>#VALUE!</v>
      </c>
      <c r="ER21" s="290" t="e">
        <f>IF(EL21&lt;'1a. Spredningsmodell input'!$C$35,0,EP21-EQ21)</f>
        <v>#VALUE!</v>
      </c>
      <c r="ES21" s="297" t="e">
        <f>($S21)*EXP(-(Stoff!$N21*365+$U21)*EL21)+EO21</f>
        <v>#VALUE!</v>
      </c>
      <c r="ET21" s="297" t="e">
        <f>(Stoff!$P21*$S21+ER21)*EXP(-$T21*EL21)</f>
        <v>#VALUE!</v>
      </c>
      <c r="EU21" s="297" t="e">
        <f>(ES21+ET21)*1000000000/('1a. Spredningsmodell input'!$C$36*1000)</f>
        <v>#VALUE!</v>
      </c>
      <c r="EV21" s="262" t="e">
        <f t="shared" si="12"/>
        <v>#VALUE!</v>
      </c>
      <c r="EW21" s="299" t="e">
        <f t="shared" si="13"/>
        <v>#VALUE!</v>
      </c>
      <c r="EX21" s="262" t="e">
        <f t="shared" si="24"/>
        <v>#VALUE!</v>
      </c>
    </row>
    <row r="22" spans="1:154" x14ac:dyDescent="0.35">
      <c r="A22" s="50" t="s">
        <v>188</v>
      </c>
      <c r="B22" s="34" t="str">
        <f>IF(ISNUMBER('1c. Kons. porevann'!E22),1000*'1c. Kons. porevann'!E22,IF(ISNUMBER('1b. Kons. umettet jord'!E22),1000*'1b. Kons. umettet jord'!E22/C22,""))</f>
        <v/>
      </c>
      <c r="C22" s="244">
        <f>IF(Stoff!B22="uorganisk",Stoff!C22,Stoff!D22*'1a. Spredningsmodell input'!$C$11)</f>
        <v>14</v>
      </c>
      <c r="D22" s="34" t="str">
        <f>IF(ISNUMBER(B22),0.000001*('1b. Kons. umettet jord'!G22*'1a. Spredningsmodell input'!$C$12+B22*0.001*'1a. Spredningsmodell input'!$C$14)*1000*'1a. Spredningsmodell input'!$B$41*'1a. Spredningsmodell input'!$C$18,"")</f>
        <v/>
      </c>
      <c r="E22" s="283">
        <f>C22*'1a. Spredningsmodell input'!$C$12/'1a. Spredningsmodell input'!$C$14+1</f>
        <v>120</v>
      </c>
      <c r="F22" s="284">
        <f>'1a. Spredningsmodell input'!$B$43/E22</f>
        <v>1.2499999999999999E-2</v>
      </c>
      <c r="G22" s="34" t="e">
        <f>Stoff!P22*Mellomregninger!D22</f>
        <v>#VALUE!</v>
      </c>
      <c r="H22" s="283" t="e">
        <f>(D22-G22)*(F22/(F22+Stoff!L22))</f>
        <v>#VALUE!</v>
      </c>
      <c r="I22" s="283">
        <f>F22/(F22+Stoff!L22)</f>
        <v>1</v>
      </c>
      <c r="J22" s="285" t="str">
        <f>IF(B22="","",IF(ISNUMBER('1d. Kons. mettet sone'!E22),'1d. Kons. mettet sone'!E22,IF(ISNUMBER('1e. Kons. grunnvann'!E22),'1e. Kons. grunnvann'!E22*Mellomregninger!K22,0)))</f>
        <v/>
      </c>
      <c r="K22" s="286">
        <f>IF(Stoff!B22="uorganisk",Stoff!C22,Stoff!D22*'1a. Spredningsmodell input'!$C$24)</f>
        <v>1.4000000000000001</v>
      </c>
      <c r="L22" s="27" t="e">
        <f>IF(ISNUMBER('1e. Kons. grunnvann'!E22),1000*'1e. Kons. grunnvann'!E22,1000*J22/K22)</f>
        <v>#VALUE!</v>
      </c>
      <c r="M22" s="34">
        <f>K22*'1a. Spredningsmodell input'!$C$25/'1a. Spredningsmodell input'!$C$26+1</f>
        <v>6.95</v>
      </c>
      <c r="N22" s="284">
        <f>'1a. Spredningsmodell input'!$C$26/M22</f>
        <v>5.7553956834532377E-2</v>
      </c>
      <c r="O22" s="287" t="e">
        <f>0.000000001*(J22*'1a. Spredningsmodell input'!$C$25+L22)*1000*'1a. Spredningsmodell input'!$B$45</f>
        <v>#VALUE!</v>
      </c>
      <c r="P22" s="287" t="e">
        <f>O22*Stoff!P22</f>
        <v>#VALUE!</v>
      </c>
      <c r="Q22" s="287">
        <f>N22/(N22+Stoff!M22)</f>
        <v>1</v>
      </c>
      <c r="R22" s="288">
        <f>IF(ISNUMBER('1f. Kons. resipient'!E22),'1f. Kons. resipient'!E22,0)</f>
        <v>0</v>
      </c>
      <c r="S22" s="288">
        <f>0.000000001*'1a. Spredningsmodell input'!$C$36*R22*1000</f>
        <v>0</v>
      </c>
      <c r="T22" s="288">
        <f>1/'1a. Spredningsmodell input'!$C$35</f>
        <v>1</v>
      </c>
      <c r="U22" s="288">
        <f>1/'1a. Spredningsmodell input'!$C$35</f>
        <v>1</v>
      </c>
      <c r="V22" s="300" t="e">
        <f>(1/($N22+Stoff!$L22))*(LN(($D22*$I22/($D22*$I22+$J22))*($F22+Stoff!$L22+$N22+Stoff!$M22)/($N22+Stoff!$M22)))</f>
        <v>#VALUE!</v>
      </c>
      <c r="W22" s="290" t="e">
        <f>($D22-Stoff!$P22*$D22)*EXP(-($F22+Stoff!$L22*365)*V22)</f>
        <v>#VALUE!</v>
      </c>
      <c r="X22" s="291" t="e">
        <f>(Stoff!$P22*$D22)*EXP(-'1a. Spredningsmodell input'!$B$43*V22)</f>
        <v>#VALUE!</v>
      </c>
      <c r="Y22" s="290" t="e">
        <f>($D22-Stoff!$P22*$D22-W22)*($F22/($F22+Stoff!$L22*365))</f>
        <v>#VALUE!</v>
      </c>
      <c r="Z22" s="290" t="e">
        <f>(Stoff!$P22*$D22)-X22</f>
        <v>#VALUE!</v>
      </c>
      <c r="AA22" s="290" t="e">
        <f>($O22+Y22)*EXP(-($N22+Stoff!$M22*365)*V22)</f>
        <v>#VALUE!</v>
      </c>
      <c r="AB22" s="290" t="e">
        <f>(Stoff!$P22*$O22+Z22)*EXP(-('1a. Spredningsmodell input'!$B$46)*V22)</f>
        <v>#VALUE!</v>
      </c>
      <c r="AC22" s="292" t="e">
        <f>((AA22+AB22)*1000000000)/('1a. Spredningsmodell input'!$B$45*1000)</f>
        <v>#VALUE!</v>
      </c>
      <c r="AD22" s="294" t="e">
        <f>0.001*AC22/('1a. Spredningsmodell input'!$C$25+'1a. Spredningsmodell input'!$C$26/Mellomregninger!$K22)</f>
        <v>#VALUE!</v>
      </c>
      <c r="AE22" s="294" t="e">
        <f>1000*AD22/$K22+AB22*1000000000/('1a. Spredningsmodell input'!$B$45*1000)</f>
        <v>#VALUE!</v>
      </c>
      <c r="AF22" s="294" t="e">
        <f t="shared" si="0"/>
        <v>#VALUE!</v>
      </c>
      <c r="AG22" s="294" t="e">
        <f>AB22*1000000000/('1a. Spredningsmodell input'!$B$45*1000)</f>
        <v>#VALUE!</v>
      </c>
      <c r="AH22" s="300" t="e">
        <f>(1/('1a. Spredningsmodell input'!$B$46))*(LN(($D22*Stoff!$P22/($D22*Stoff!$P22+$P22*Stoff!$P22))*('1a. Spredningsmodell input'!$B$43+'1a. Spredningsmodell input'!$B$46)/('1a. Spredningsmodell input'!$B$46)))</f>
        <v>#VALUE!</v>
      </c>
      <c r="AI22" s="290" t="e">
        <f>($D22-Stoff!$P22*$D22)*EXP(-($F22+Stoff!$L22*365)*AH22)</f>
        <v>#VALUE!</v>
      </c>
      <c r="AJ22" s="291" t="e">
        <f>(Stoff!$P22*$D22)*EXP(-'1a. Spredningsmodell input'!$B$43*AH22)</f>
        <v>#VALUE!</v>
      </c>
      <c r="AK22" s="290" t="e">
        <f>($D22-Stoff!$P22*$D22-AI22)*($F22/($F22+Stoff!$L22*365))</f>
        <v>#VALUE!</v>
      </c>
      <c r="AL22" s="290" t="e">
        <f>(Stoff!$P22*$D22)-AJ22</f>
        <v>#VALUE!</v>
      </c>
      <c r="AM22" s="290" t="e">
        <f>($O22+AK22)*EXP(-($N22+Stoff!$M22*365)*AH22)</f>
        <v>#VALUE!</v>
      </c>
      <c r="AN22" s="290" t="e">
        <f>(Stoff!$P22*$O22+AL22)*EXP(-('1a. Spredningsmodell input'!$B$46)*AH22)</f>
        <v>#VALUE!</v>
      </c>
      <c r="AO22" s="292" t="e">
        <f>((AM22+AN22)*1000000000)/('1a. Spredningsmodell input'!$B$45*1000)</f>
        <v>#VALUE!</v>
      </c>
      <c r="AP22" s="294" t="e">
        <f>0.001*AO22/('1a. Spredningsmodell input'!$C$25+'1a. Spredningsmodell input'!$C$26/Mellomregninger!$K22)</f>
        <v>#VALUE!</v>
      </c>
      <c r="AQ22" s="294" t="e">
        <f>1000*AP22/$K22+AN22*1000000000/('1a. Spredningsmodell input'!$B$45*1000)</f>
        <v>#VALUE!</v>
      </c>
      <c r="AR22" s="294" t="e">
        <f t="shared" si="1"/>
        <v>#VALUE!</v>
      </c>
      <c r="AS22" s="294" t="e">
        <f>AN22*1000000000/('1a. Spredningsmodell input'!$B$45*1000)</f>
        <v>#VALUE!</v>
      </c>
      <c r="AT22" s="295">
        <f t="shared" si="14"/>
        <v>5</v>
      </c>
      <c r="AU22" s="290" t="e">
        <f>($D22-Stoff!$P22*$D22)*EXP(-($F22+Stoff!$L22*365)*AT22)</f>
        <v>#VALUE!</v>
      </c>
      <c r="AV22" s="291" t="e">
        <f>(Stoff!$P22*$D22)*EXP(-'1a. Spredningsmodell input'!$B$43*AT22)</f>
        <v>#VALUE!</v>
      </c>
      <c r="AW22" s="290" t="e">
        <f>($D22-Stoff!$P22*$D22-AU22)*($F22/($F22+Stoff!$L22*365))</f>
        <v>#VALUE!</v>
      </c>
      <c r="AX22" s="290" t="e">
        <f>(Stoff!$P22*$D22)-AV22</f>
        <v>#VALUE!</v>
      </c>
      <c r="AY22" s="290" t="e">
        <f>($O22+AW22)*EXP(-($N22+Stoff!$M22*365)*AT22)</f>
        <v>#VALUE!</v>
      </c>
      <c r="AZ22" s="290" t="e">
        <f>(Stoff!$P22*$O22+AX22)*EXP(-('1a. Spredningsmodell input'!$B$46)*AT22)</f>
        <v>#VALUE!</v>
      </c>
      <c r="BA22" s="292" t="e">
        <f>((AY22+AZ22)*1000000000)/('1a. Spredningsmodell input'!$B$45*1000)</f>
        <v>#VALUE!</v>
      </c>
      <c r="BB22" s="294" t="e">
        <f>0.001*BA22/('1a. Spredningsmodell input'!$C$25+'1a. Spredningsmodell input'!$C$26/Mellomregninger!$K22)</f>
        <v>#VALUE!</v>
      </c>
      <c r="BC22" s="294" t="e">
        <f>1000*BB22/$K22+AZ22*1000000000/('1a. Spredningsmodell input'!$B$45*1000)</f>
        <v>#VALUE!</v>
      </c>
      <c r="BD22" s="294" t="e">
        <f t="shared" si="2"/>
        <v>#VALUE!</v>
      </c>
      <c r="BE22" s="294" t="e">
        <f>AZ22*1000000000/('1a. Spredningsmodell input'!$B$45*1000)</f>
        <v>#VALUE!</v>
      </c>
      <c r="BF22" s="295">
        <f t="shared" si="15"/>
        <v>20</v>
      </c>
      <c r="BG22" s="290" t="e">
        <f>($D22-Stoff!$P22*$D22)*EXP(-($F22+Stoff!$L22*365)*BF22)</f>
        <v>#VALUE!</v>
      </c>
      <c r="BH22" s="291" t="e">
        <f>(Stoff!$P22*$D22)*EXP(-'1a. Spredningsmodell input'!$B$43*BF22)</f>
        <v>#VALUE!</v>
      </c>
      <c r="BI22" s="290" t="e">
        <f>($D22-Stoff!$P22*$D22-BG22)*($F22/($F22+Stoff!$L22*365))</f>
        <v>#VALUE!</v>
      </c>
      <c r="BJ22" s="290" t="e">
        <f>(Stoff!$P22*$D22)-BH22</f>
        <v>#VALUE!</v>
      </c>
      <c r="BK22" s="290" t="e">
        <f>($O22+BI22)*EXP(-($N22+Stoff!$M22*365)*BF22)</f>
        <v>#VALUE!</v>
      </c>
      <c r="BL22" s="290" t="e">
        <f>(Stoff!$P22*$O22+BJ22)*EXP(-('1a. Spredningsmodell input'!$B$46)*BF22)</f>
        <v>#VALUE!</v>
      </c>
      <c r="BM22" s="292" t="e">
        <f>((BK22+BL22)*1000000000)/('1a. Spredningsmodell input'!$B$45*1000)</f>
        <v>#VALUE!</v>
      </c>
      <c r="BN22" s="294" t="e">
        <f>0.001*BM22/('1a. Spredningsmodell input'!$C$25+'1a. Spredningsmodell input'!$C$26/Mellomregninger!$K22)</f>
        <v>#VALUE!</v>
      </c>
      <c r="BO22" s="294" t="e">
        <f>1000*BN22/$K22+BL22*1000000000/('1a. Spredningsmodell input'!$B$45*1000)</f>
        <v>#VALUE!</v>
      </c>
      <c r="BP22" s="294" t="e">
        <f t="shared" si="3"/>
        <v>#VALUE!</v>
      </c>
      <c r="BQ22" s="294" t="e">
        <f>BL22*1000000000/('1a. Spredningsmodell input'!$B$45*1000)</f>
        <v>#VALUE!</v>
      </c>
      <c r="BR22" s="295">
        <f t="shared" si="16"/>
        <v>100</v>
      </c>
      <c r="BS22" s="290" t="e">
        <f>($D22-Stoff!$P22*$D22)*EXP(-($F22+Stoff!$L22*365)*BR22)</f>
        <v>#VALUE!</v>
      </c>
      <c r="BT22" s="291" t="e">
        <f>(Stoff!$P22*$D22)*EXP(-'1a. Spredningsmodell input'!$B$43*BR22)</f>
        <v>#VALUE!</v>
      </c>
      <c r="BU22" s="290" t="e">
        <f>($D22-Stoff!$P22*$D22-BS22)*($F22/($F22+Stoff!$L22*365))</f>
        <v>#VALUE!</v>
      </c>
      <c r="BV22" s="290" t="e">
        <f>(Stoff!$P22*$D22)-BT22</f>
        <v>#VALUE!</v>
      </c>
      <c r="BW22" s="290" t="e">
        <f>($O22+BU22)*EXP(-($N22+Stoff!$M22*365)*BR22)</f>
        <v>#VALUE!</v>
      </c>
      <c r="BX22" s="290" t="e">
        <f>(Stoff!$P22*$O22+BV22)*EXP(-('1a. Spredningsmodell input'!$B$46)*BR22)</f>
        <v>#VALUE!</v>
      </c>
      <c r="BY22" s="292" t="e">
        <f>((BW22+BX22)*1000000000)/('1a. Spredningsmodell input'!$B$45*1000)</f>
        <v>#VALUE!</v>
      </c>
      <c r="BZ22" s="294" t="e">
        <f>0.001*BY22/('1a. Spredningsmodell input'!$C$25+'1a. Spredningsmodell input'!$C$26/Mellomregninger!$K22)</f>
        <v>#VALUE!</v>
      </c>
      <c r="CA22" s="294" t="e">
        <f>1000*BZ22/$K22+BX22*1000000000/('1a. Spredningsmodell input'!$B$45*1000)</f>
        <v>#VALUE!</v>
      </c>
      <c r="CB22" s="294" t="e">
        <f t="shared" si="4"/>
        <v>#VALUE!</v>
      </c>
      <c r="CC22" s="294" t="e">
        <f>BX22*1000000000/('1a. Spredningsmodell input'!$B$45*1000)</f>
        <v>#VALUE!</v>
      </c>
      <c r="CD22" s="294" t="e">
        <f>V22+'1a. Spredningsmodell input'!$C$35</f>
        <v>#VALUE!</v>
      </c>
      <c r="CE22" s="294" t="e">
        <f>($S22+$Q22*($O22+$I22*($D22*(1-Stoff!$P22))*(1-EXP(-($F22+Stoff!$L22*365)*CD22)))*(1-EXP(-($N22+Stoff!$M22*365)*CD22)))</f>
        <v>#VALUE!</v>
      </c>
      <c r="CF22" s="294" t="e">
        <f t="shared" si="5"/>
        <v>#VALUE!</v>
      </c>
      <c r="CG22" s="296" t="e">
        <f>(CF22/1000000)*'1a. Spredningsmodell input'!$B$49*'1a. Spredningsmodell input'!$C$35</f>
        <v>#VALUE!</v>
      </c>
      <c r="CH22" s="294" t="e">
        <f t="shared" si="17"/>
        <v>#VALUE!</v>
      </c>
      <c r="CI22" s="290" t="e">
        <f>(CH22/1000000)*'1a. Spredningsmodell input'!$B$49*'1a. Spredningsmodell input'!$C$35</f>
        <v>#VALUE!</v>
      </c>
      <c r="CJ22" s="297" t="e">
        <f>($S22)*EXP(-(Stoff!$N22*365+$U22)*CD22)+CG22</f>
        <v>#VALUE!</v>
      </c>
      <c r="CK22" s="297" t="e">
        <f>(Stoff!$P22*$S22+CI22)*EXP(-$T22*CD22)</f>
        <v>#VALUE!</v>
      </c>
      <c r="CL22" s="297" t="e">
        <f>(CJ22+CK22)*1000000000/('1a. Spredningsmodell input'!$C$36*1000)</f>
        <v>#VALUE!</v>
      </c>
      <c r="CM22" s="297" t="e">
        <f>$G22*(1-EXP(-'1a. Spredningsmodell input'!$B$43*Mellomregninger!CD22))*(1-EXP(-'1a. Spredningsmodell input'!$B$46*Mellomregninger!CD22))</f>
        <v>#VALUE!</v>
      </c>
      <c r="CN22" s="297"/>
      <c r="CO22" s="297"/>
      <c r="CP22" s="290">
        <f>IF(ISNUMBER(AH22),AH22+'1a. Spredningsmodell input'!$C$35,'1a. Spredningsmodell input'!$C$35)</f>
        <v>1</v>
      </c>
      <c r="CQ22" s="294" t="e">
        <f>($S22+$Q22*($O22+$I22*($D22*(1-Stoff!$P22))*(1-EXP(-($F22+Stoff!$L22*365)*CP22)))*(1-EXP(-($N22+Stoff!$M22*365)*CP22)))</f>
        <v>#VALUE!</v>
      </c>
      <c r="CR22" s="294" t="e">
        <f t="shared" si="6"/>
        <v>#VALUE!</v>
      </c>
      <c r="CS22" s="296" t="e">
        <f>(CR22/1000000)*('1a. Spredningsmodell input'!$B$49*'1a. Spredningsmodell input'!$C$35)</f>
        <v>#VALUE!</v>
      </c>
      <c r="CT22" s="294" t="e">
        <f t="shared" si="7"/>
        <v>#VALUE!</v>
      </c>
      <c r="CU22" s="290" t="e">
        <f>(CT22/1000000)*('1a. Spredningsmodell input'!$B$49)*'1a. Spredningsmodell input'!$C$35</f>
        <v>#VALUE!</v>
      </c>
      <c r="CV22" s="297" t="e">
        <f>($S22)*EXP(-(Stoff!$N22*365+$U22)*CP22)+CS22</f>
        <v>#VALUE!</v>
      </c>
      <c r="CW22" s="297" t="e">
        <f>(Stoff!$P22*$S22+CU22)*EXP(-$T22*CP22)</f>
        <v>#VALUE!</v>
      </c>
      <c r="CX22" s="297">
        <f>IF(ISERROR(CV22),0,(CV22+CW22)*1000000000/('1a. Spredningsmodell input'!$C$36*1000))</f>
        <v>0</v>
      </c>
      <c r="CY22" s="297" t="e">
        <f>$G22*(1-EXP(-'1a. Spredningsmodell input'!$B$43*Mellomregninger!CP22))*(1-EXP(-'1a. Spredningsmodell input'!$B$46*Mellomregninger!CP22))</f>
        <v>#VALUE!</v>
      </c>
      <c r="CZ22" s="297"/>
      <c r="DA22" s="297"/>
      <c r="DB22" s="262">
        <f t="shared" si="18"/>
        <v>5</v>
      </c>
      <c r="DC22" s="298" t="e">
        <f>($S22+$Q22*($O22+$I22*($D22*(1-Stoff!$P22))*(1-EXP(-($F22+Stoff!$L22*365)*DB22)))*(1-EXP(-($N22+Stoff!$M22*365)*DB22)))</f>
        <v>#VALUE!</v>
      </c>
      <c r="DD22" s="294" t="e">
        <f t="shared" si="8"/>
        <v>#VALUE!</v>
      </c>
      <c r="DE22" s="296" t="e">
        <f>(DD22/1000000)*('1a. Spredningsmodell input'!$B$49)*'1a. Spredningsmodell input'!$C$35</f>
        <v>#VALUE!</v>
      </c>
      <c r="DF22" s="294" t="e">
        <f t="shared" si="19"/>
        <v>#VALUE!</v>
      </c>
      <c r="DG22" s="290" t="e">
        <f>(DF22/1000000)*('1a. Spredningsmodell input'!$B$49)*'1a. Spredningsmodell input'!$C$35</f>
        <v>#VALUE!</v>
      </c>
      <c r="DH22" s="297" t="e">
        <f>($S22)*EXP(-(Stoff!$N22*365+$U22)*DB22)+DE22</f>
        <v>#VALUE!</v>
      </c>
      <c r="DI22" s="297" t="e">
        <f>(Stoff!$P22*$S22+DG22)*EXP(-$T22*DB22)</f>
        <v>#VALUE!</v>
      </c>
      <c r="DJ22" s="297" t="e">
        <f>(DH22+DI22)*1000000000/('1a. Spredningsmodell input'!$C$36*1000)</f>
        <v>#VALUE!</v>
      </c>
      <c r="DK22" s="297" t="e">
        <f>$G22*(1-EXP(-'1a. Spredningsmodell input'!$B$43*Mellomregninger!DB22))*(1-EXP(-'1a. Spredningsmodell input'!$B$46*Mellomregninger!DB22))</f>
        <v>#VALUE!</v>
      </c>
      <c r="DL22" s="297"/>
      <c r="DM22" s="297"/>
      <c r="DN22" s="262">
        <f t="shared" si="20"/>
        <v>20</v>
      </c>
      <c r="DO22" s="298" t="e">
        <f>($S22+$Q22*($O22+$I22*($D22*(1-Stoff!$P22))*(1-EXP(-($F22+Stoff!$L22*365)*DN22)))*(1-EXP(-($N22+Stoff!$M22*365)*DN22)))</f>
        <v>#VALUE!</v>
      </c>
      <c r="DP22" s="294" t="e">
        <f t="shared" si="21"/>
        <v>#VALUE!</v>
      </c>
      <c r="DQ22" s="296" t="e">
        <f>(DP22/1000000)*('1a. Spredningsmodell input'!$B$49)*'1a. Spredningsmodell input'!$C$35</f>
        <v>#VALUE!</v>
      </c>
      <c r="DR22" s="294" t="e">
        <f t="shared" si="9"/>
        <v>#VALUE!</v>
      </c>
      <c r="DS22" s="290" t="e">
        <f>(DR22/1000000)*('1a. Spredningsmodell input'!$B$49)*'1a. Spredningsmodell input'!$C$35</f>
        <v>#VALUE!</v>
      </c>
      <c r="DT22" s="297" t="e">
        <f>($S22)*EXP(-(Stoff!$N22*365+$U22)*DN22)+DQ22</f>
        <v>#VALUE!</v>
      </c>
      <c r="DU22" s="297" t="e">
        <f>(Stoff!$P22*$S22+DS22)*EXP(-$T22*DN22)</f>
        <v>#VALUE!</v>
      </c>
      <c r="DV22" s="297" t="e">
        <f>(DT22+DU22)*1000000000/('1a. Spredningsmodell input'!$C$36*1000)</f>
        <v>#VALUE!</v>
      </c>
      <c r="DW22" s="297" t="e">
        <f>$G22*(1-EXP(-'1a. Spredningsmodell input'!$B$43*Mellomregninger!DN22))*(1-EXP(-'1a. Spredningsmodell input'!$B$46*Mellomregninger!DN22))</f>
        <v>#VALUE!</v>
      </c>
      <c r="DX22" s="297"/>
      <c r="DY22" s="297"/>
      <c r="DZ22" s="262">
        <f t="shared" si="22"/>
        <v>100</v>
      </c>
      <c r="EA22" s="298" t="e">
        <f>($S22+$Q22*($O22+$I22*($D22*(1-Stoff!$P22))*(1-EXP(-($F22+Stoff!$L22*365)*DZ22)))*(1-EXP(-($N22+Stoff!$M22*365)*DZ22)))</f>
        <v>#VALUE!</v>
      </c>
      <c r="EB22" s="294" t="e">
        <f t="shared" si="10"/>
        <v>#VALUE!</v>
      </c>
      <c r="EC22" s="296" t="e">
        <f>(EB22/1000000)*('1a. Spredningsmodell input'!$B$49)*'1a. Spredningsmodell input'!$C$35</f>
        <v>#VALUE!</v>
      </c>
      <c r="ED22" s="294" t="e">
        <f t="shared" si="11"/>
        <v>#VALUE!</v>
      </c>
      <c r="EE22" s="290" t="e">
        <f>(ED22/1000000)*('1a. Spredningsmodell input'!$B$49)*'1a. Spredningsmodell input'!$C$35</f>
        <v>#VALUE!</v>
      </c>
      <c r="EF22" s="297" t="e">
        <f>($S22)*EXP(-(Stoff!$N22*365+$U22)*DZ22)+EC22</f>
        <v>#VALUE!</v>
      </c>
      <c r="EG22" s="297" t="e">
        <f>(Stoff!$P22*$S22+EE22)*EXP(-$T22*DZ22)</f>
        <v>#VALUE!</v>
      </c>
      <c r="EH22" s="297" t="e">
        <f>(EF22+EG22)*1000000000/('1a. Spredningsmodell input'!$C$36*1000)</f>
        <v>#VALUE!</v>
      </c>
      <c r="EI22" s="297" t="e">
        <f>$G22*(1-EXP(-'1a. Spredningsmodell input'!$B$43*Mellomregninger!DZ22))*(1-EXP(-'1a. Spredningsmodell input'!$B$46*Mellomregninger!DZ22))</f>
        <v>#VALUE!</v>
      </c>
      <c r="EJ22" s="297"/>
      <c r="EK22" s="297"/>
      <c r="EL22" s="262">
        <f t="shared" si="23"/>
        <v>1.0000000000000001E+25</v>
      </c>
      <c r="EM22" s="294" t="e">
        <f>($S22+$Q22*($O22+$I22*($D22*(1-Stoff!$P22))*(1-EXP(-($F22+Stoff!$L22*365)*EL22)))*(1-EXP(-($N22+Stoff!$M22*365)*EL22)))</f>
        <v>#VALUE!</v>
      </c>
      <c r="EN22" s="296" t="e">
        <f>($S22+$Q22*($O22+$I22*($D22*(1-Stoff!$P22))*(1-EXP(-($F22+Stoff!$L22*365)*(EL22-'1a. Spredningsmodell input'!$C$35))))*(1-EXP(-($N22+Stoff!$M22*365)*(EL22-'1a. Spredningsmodell input'!$C$35))))</f>
        <v>#VALUE!</v>
      </c>
      <c r="EO22" s="294" t="e">
        <f>IF(EL22&lt;'1a. Spredningsmodell input'!$C$35,EM22-($S22)*EXP(-(Stoff!$N22*365+$U22)*EL22),EM22-EN22)</f>
        <v>#VALUE!</v>
      </c>
      <c r="EP22" s="290" t="e">
        <f>((($D22*(Stoff!$P22))*(1-EXP(-'1a. Spredningsmodell input'!$B$43*EL22)))*(1-EXP(-'1a. Spredningsmodell input'!$B$46*EL22)))</f>
        <v>#VALUE!</v>
      </c>
      <c r="EQ22" s="294" t="e">
        <f>((($D22*(Stoff!$P22))*(1-EXP(-'1a. Spredningsmodell input'!$B$43*(EL22-'1a. Spredningsmodell input'!$C$35))))*(1-EXP(-'1a. Spredningsmodell input'!$B$46*(EL22-'1a. Spredningsmodell input'!$C$35))))</f>
        <v>#VALUE!</v>
      </c>
      <c r="ER22" s="290" t="e">
        <f>IF(EL22&lt;'1a. Spredningsmodell input'!$C$35,0,EP22-EQ22)</f>
        <v>#VALUE!</v>
      </c>
      <c r="ES22" s="297" t="e">
        <f>($S22)*EXP(-(Stoff!$N22*365+$U22)*EL22)+EO22</f>
        <v>#VALUE!</v>
      </c>
      <c r="ET22" s="297" t="e">
        <f>(Stoff!$P22*$S22+ER22)*EXP(-$T22*EL22)</f>
        <v>#VALUE!</v>
      </c>
      <c r="EU22" s="297" t="e">
        <f>(ES22+ET22)*1000000000/('1a. Spredningsmodell input'!$C$36*1000)</f>
        <v>#VALUE!</v>
      </c>
      <c r="EV22" s="262" t="e">
        <f t="shared" si="12"/>
        <v>#VALUE!</v>
      </c>
      <c r="EW22" s="299" t="e">
        <f t="shared" si="13"/>
        <v>#VALUE!</v>
      </c>
      <c r="EX22" s="262" t="e">
        <f t="shared" si="24"/>
        <v>#VALUE!</v>
      </c>
    </row>
    <row r="23" spans="1:154" x14ac:dyDescent="0.35">
      <c r="A23" s="50" t="s">
        <v>187</v>
      </c>
      <c r="B23" s="34" t="str">
        <f>IF(ISNUMBER('1c. Kons. porevann'!E23),1000*'1c. Kons. porevann'!E23,IF(ISNUMBER('1b. Kons. umettet jord'!E23),1000*'1b. Kons. umettet jord'!E23/C23,""))</f>
        <v/>
      </c>
      <c r="C23" s="244">
        <f>IF(Stoff!B23="uorganisk",Stoff!C23,Stoff!D23*'1a. Spredningsmodell input'!$C$11)</f>
        <v>14</v>
      </c>
      <c r="D23" s="34" t="str">
        <f>IF(ISNUMBER(B23),0.000001*('1b. Kons. umettet jord'!G23*'1a. Spredningsmodell input'!$C$12+B23*0.001*'1a. Spredningsmodell input'!$C$14)*1000*'1a. Spredningsmodell input'!$B$41*'1a. Spredningsmodell input'!$C$18,"")</f>
        <v/>
      </c>
      <c r="E23" s="283">
        <f>C23*'1a. Spredningsmodell input'!$C$12/'1a. Spredningsmodell input'!$C$14+1</f>
        <v>120</v>
      </c>
      <c r="F23" s="284">
        <f>'1a. Spredningsmodell input'!$B$43/E23</f>
        <v>1.2499999999999999E-2</v>
      </c>
      <c r="G23" s="34" t="e">
        <f>Stoff!P23*Mellomregninger!D23</f>
        <v>#VALUE!</v>
      </c>
      <c r="H23" s="283" t="e">
        <f>(D23-G23)*(F23/(F23+Stoff!L23))</f>
        <v>#VALUE!</v>
      </c>
      <c r="I23" s="283">
        <f>F23/(F23+Stoff!L23)</f>
        <v>1</v>
      </c>
      <c r="J23" s="285" t="str">
        <f>IF(B23="","",IF(ISNUMBER('1d. Kons. mettet sone'!E23),'1d. Kons. mettet sone'!E23,IF(ISNUMBER('1e. Kons. grunnvann'!E23),'1e. Kons. grunnvann'!E23*Mellomregninger!K23,0)))</f>
        <v/>
      </c>
      <c r="K23" s="286">
        <f>IF(Stoff!B23="uorganisk",Stoff!C23,Stoff!D23*'1a. Spredningsmodell input'!$C$24)</f>
        <v>1.4000000000000001</v>
      </c>
      <c r="L23" s="27" t="e">
        <f>IF(ISNUMBER('1e. Kons. grunnvann'!E23),1000*'1e. Kons. grunnvann'!E23,1000*J23/K23)</f>
        <v>#VALUE!</v>
      </c>
      <c r="M23" s="34">
        <f>K23*'1a. Spredningsmodell input'!$C$25/'1a. Spredningsmodell input'!$C$26+1</f>
        <v>6.95</v>
      </c>
      <c r="N23" s="284">
        <f>'1a. Spredningsmodell input'!$C$26/M23</f>
        <v>5.7553956834532377E-2</v>
      </c>
      <c r="O23" s="287" t="e">
        <f>0.000000001*(J23*'1a. Spredningsmodell input'!$C$25+L23)*1000*'1a. Spredningsmodell input'!$B$45</f>
        <v>#VALUE!</v>
      </c>
      <c r="P23" s="287" t="e">
        <f>O23*Stoff!P23</f>
        <v>#VALUE!</v>
      </c>
      <c r="Q23" s="287">
        <f>N23/(N23+Stoff!M23)</f>
        <v>1</v>
      </c>
      <c r="R23" s="288">
        <f>IF(ISNUMBER('1f. Kons. resipient'!E23),'1f. Kons. resipient'!E23,0)</f>
        <v>0</v>
      </c>
      <c r="S23" s="288">
        <f>0.000000001*'1a. Spredningsmodell input'!$C$36*R23*1000</f>
        <v>0</v>
      </c>
      <c r="T23" s="288">
        <f>1/'1a. Spredningsmodell input'!$C$35</f>
        <v>1</v>
      </c>
      <c r="U23" s="288">
        <f>1/'1a. Spredningsmodell input'!$C$35</f>
        <v>1</v>
      </c>
      <c r="V23" s="300" t="e">
        <f>(1/($N23+Stoff!$L23))*(LN(($D23*$I23/($D23*$I23+$J23))*($F23+Stoff!$L23+$N23+Stoff!$M23)/($N23+Stoff!$M23)))</f>
        <v>#VALUE!</v>
      </c>
      <c r="W23" s="290" t="e">
        <f>($D23-Stoff!$P23*$D23)*EXP(-($F23+Stoff!$L23*365)*V23)</f>
        <v>#VALUE!</v>
      </c>
      <c r="X23" s="291" t="e">
        <f>(Stoff!$P23*$D23)*EXP(-'1a. Spredningsmodell input'!$B$43*V23)</f>
        <v>#VALUE!</v>
      </c>
      <c r="Y23" s="290" t="e">
        <f>($D23-Stoff!$P23*$D23-W23)*($F23/($F23+Stoff!$L23*365))</f>
        <v>#VALUE!</v>
      </c>
      <c r="Z23" s="290" t="e">
        <f>(Stoff!$P23*$D23)-X23</f>
        <v>#VALUE!</v>
      </c>
      <c r="AA23" s="290" t="e">
        <f>($O23+Y23)*EXP(-($N23+Stoff!$M23*365)*V23)</f>
        <v>#VALUE!</v>
      </c>
      <c r="AB23" s="290" t="e">
        <f>(Stoff!$P23*$O23+Z23)*EXP(-('1a. Spredningsmodell input'!$B$46)*V23)</f>
        <v>#VALUE!</v>
      </c>
      <c r="AC23" s="292" t="e">
        <f>((AA23+AB23)*1000000000)/('1a. Spredningsmodell input'!$B$45*1000)</f>
        <v>#VALUE!</v>
      </c>
      <c r="AD23" s="294" t="e">
        <f>0.001*AC23/('1a. Spredningsmodell input'!$C$25+'1a. Spredningsmodell input'!$C$26/Mellomregninger!$K23)</f>
        <v>#VALUE!</v>
      </c>
      <c r="AE23" s="294" t="e">
        <f>1000*AD23/$K23+AB23*1000000000/('1a. Spredningsmodell input'!$B$45*1000)</f>
        <v>#VALUE!</v>
      </c>
      <c r="AF23" s="294" t="e">
        <f t="shared" si="0"/>
        <v>#VALUE!</v>
      </c>
      <c r="AG23" s="294" t="e">
        <f>AB23*1000000000/('1a. Spredningsmodell input'!$B$45*1000)</f>
        <v>#VALUE!</v>
      </c>
      <c r="AH23" s="300" t="e">
        <f>(1/('1a. Spredningsmodell input'!$B$46))*(LN(($D23*Stoff!$P23/($D23*Stoff!$P23+$P23*Stoff!$P23))*('1a. Spredningsmodell input'!$B$43+'1a. Spredningsmodell input'!$B$46)/('1a. Spredningsmodell input'!$B$46)))</f>
        <v>#VALUE!</v>
      </c>
      <c r="AI23" s="290" t="e">
        <f>($D23-Stoff!$P23*$D23)*EXP(-($F23+Stoff!$L23*365)*AH23)</f>
        <v>#VALUE!</v>
      </c>
      <c r="AJ23" s="291" t="e">
        <f>(Stoff!$P23*$D23)*EXP(-'1a. Spredningsmodell input'!$B$43*AH23)</f>
        <v>#VALUE!</v>
      </c>
      <c r="AK23" s="290" t="e">
        <f>($D23-Stoff!$P23*$D23-AI23)*($F23/($F23+Stoff!$L23*365))</f>
        <v>#VALUE!</v>
      </c>
      <c r="AL23" s="290" t="e">
        <f>(Stoff!$P23*$D23)-AJ23</f>
        <v>#VALUE!</v>
      </c>
      <c r="AM23" s="290" t="e">
        <f>($O23+AK23)*EXP(-($N23+Stoff!$M23*365)*AH23)</f>
        <v>#VALUE!</v>
      </c>
      <c r="AN23" s="290" t="e">
        <f>(Stoff!$P23*$O23+AL23)*EXP(-('1a. Spredningsmodell input'!$B$46)*AH23)</f>
        <v>#VALUE!</v>
      </c>
      <c r="AO23" s="292" t="e">
        <f>((AM23+AN23)*1000000000)/('1a. Spredningsmodell input'!$B$45*1000)</f>
        <v>#VALUE!</v>
      </c>
      <c r="AP23" s="294" t="e">
        <f>0.001*AO23/('1a. Spredningsmodell input'!$C$25+'1a. Spredningsmodell input'!$C$26/Mellomregninger!$K23)</f>
        <v>#VALUE!</v>
      </c>
      <c r="AQ23" s="294" t="e">
        <f>1000*AP23/$K23+AN23*1000000000/('1a. Spredningsmodell input'!$B$45*1000)</f>
        <v>#VALUE!</v>
      </c>
      <c r="AR23" s="294" t="e">
        <f t="shared" si="1"/>
        <v>#VALUE!</v>
      </c>
      <c r="AS23" s="294" t="e">
        <f>AN23*1000000000/('1a. Spredningsmodell input'!$B$45*1000)</f>
        <v>#VALUE!</v>
      </c>
      <c r="AT23" s="295">
        <f t="shared" si="14"/>
        <v>5</v>
      </c>
      <c r="AU23" s="290" t="e">
        <f>($D23-Stoff!$P23*$D23)*EXP(-($F23+Stoff!$L23*365)*AT23)</f>
        <v>#VALUE!</v>
      </c>
      <c r="AV23" s="291" t="e">
        <f>(Stoff!$P23*$D23)*EXP(-'1a. Spredningsmodell input'!$B$43*AT23)</f>
        <v>#VALUE!</v>
      </c>
      <c r="AW23" s="290" t="e">
        <f>($D23-Stoff!$P23*$D23-AU23)*($F23/($F23+Stoff!$L23*365))</f>
        <v>#VALUE!</v>
      </c>
      <c r="AX23" s="290" t="e">
        <f>(Stoff!$P23*$D23)-AV23</f>
        <v>#VALUE!</v>
      </c>
      <c r="AY23" s="290" t="e">
        <f>($O23+AW23)*EXP(-($N23+Stoff!$M23*365)*AT23)</f>
        <v>#VALUE!</v>
      </c>
      <c r="AZ23" s="290" t="e">
        <f>(Stoff!$P23*$O23+AX23)*EXP(-('1a. Spredningsmodell input'!$B$46)*AT23)</f>
        <v>#VALUE!</v>
      </c>
      <c r="BA23" s="292" t="e">
        <f>((AY23+AZ23)*1000000000)/('1a. Spredningsmodell input'!$B$45*1000)</f>
        <v>#VALUE!</v>
      </c>
      <c r="BB23" s="294" t="e">
        <f>0.001*BA23/('1a. Spredningsmodell input'!$C$25+'1a. Spredningsmodell input'!$C$26/Mellomregninger!$K23)</f>
        <v>#VALUE!</v>
      </c>
      <c r="BC23" s="294" t="e">
        <f>1000*BB23/$K23+AZ23*1000000000/('1a. Spredningsmodell input'!$B$45*1000)</f>
        <v>#VALUE!</v>
      </c>
      <c r="BD23" s="294" t="e">
        <f t="shared" si="2"/>
        <v>#VALUE!</v>
      </c>
      <c r="BE23" s="294" t="e">
        <f>AZ23*1000000000/('1a. Spredningsmodell input'!$B$45*1000)</f>
        <v>#VALUE!</v>
      </c>
      <c r="BF23" s="295">
        <f t="shared" si="15"/>
        <v>20</v>
      </c>
      <c r="BG23" s="290" t="e">
        <f>($D23-Stoff!$P23*$D23)*EXP(-($F23+Stoff!$L23*365)*BF23)</f>
        <v>#VALUE!</v>
      </c>
      <c r="BH23" s="291" t="e">
        <f>(Stoff!$P23*$D23)*EXP(-'1a. Spredningsmodell input'!$B$43*BF23)</f>
        <v>#VALUE!</v>
      </c>
      <c r="BI23" s="290" t="e">
        <f>($D23-Stoff!$P23*$D23-BG23)*($F23/($F23+Stoff!$L23*365))</f>
        <v>#VALUE!</v>
      </c>
      <c r="BJ23" s="290" t="e">
        <f>(Stoff!$P23*$D23)-BH23</f>
        <v>#VALUE!</v>
      </c>
      <c r="BK23" s="290" t="e">
        <f>($O23+BI23)*EXP(-($N23+Stoff!$M23*365)*BF23)</f>
        <v>#VALUE!</v>
      </c>
      <c r="BL23" s="290" t="e">
        <f>(Stoff!$P23*$O23+BJ23)*EXP(-('1a. Spredningsmodell input'!$B$46)*BF23)</f>
        <v>#VALUE!</v>
      </c>
      <c r="BM23" s="292" t="e">
        <f>((BK23+BL23)*1000000000)/('1a. Spredningsmodell input'!$B$45*1000)</f>
        <v>#VALUE!</v>
      </c>
      <c r="BN23" s="294" t="e">
        <f>0.001*BM23/('1a. Spredningsmodell input'!$C$25+'1a. Spredningsmodell input'!$C$26/Mellomregninger!$K23)</f>
        <v>#VALUE!</v>
      </c>
      <c r="BO23" s="294" t="e">
        <f>1000*BN23/$K23+BL23*1000000000/('1a. Spredningsmodell input'!$B$45*1000)</f>
        <v>#VALUE!</v>
      </c>
      <c r="BP23" s="294" t="e">
        <f t="shared" si="3"/>
        <v>#VALUE!</v>
      </c>
      <c r="BQ23" s="294" t="e">
        <f>BL23*1000000000/('1a. Spredningsmodell input'!$B$45*1000)</f>
        <v>#VALUE!</v>
      </c>
      <c r="BR23" s="295">
        <f t="shared" si="16"/>
        <v>100</v>
      </c>
      <c r="BS23" s="290" t="e">
        <f>($D23-Stoff!$P23*$D23)*EXP(-($F23+Stoff!$L23*365)*BR23)</f>
        <v>#VALUE!</v>
      </c>
      <c r="BT23" s="291" t="e">
        <f>(Stoff!$P23*$D23)*EXP(-'1a. Spredningsmodell input'!$B$43*BR23)</f>
        <v>#VALUE!</v>
      </c>
      <c r="BU23" s="290" t="e">
        <f>($D23-Stoff!$P23*$D23-BS23)*($F23/($F23+Stoff!$L23*365))</f>
        <v>#VALUE!</v>
      </c>
      <c r="BV23" s="290" t="e">
        <f>(Stoff!$P23*$D23)-BT23</f>
        <v>#VALUE!</v>
      </c>
      <c r="BW23" s="290" t="e">
        <f>($O23+BU23)*EXP(-($N23+Stoff!$M23*365)*BR23)</f>
        <v>#VALUE!</v>
      </c>
      <c r="BX23" s="290" t="e">
        <f>(Stoff!$P23*$O23+BV23)*EXP(-('1a. Spredningsmodell input'!$B$46)*BR23)</f>
        <v>#VALUE!</v>
      </c>
      <c r="BY23" s="292" t="e">
        <f>((BW23+BX23)*1000000000)/('1a. Spredningsmodell input'!$B$45*1000)</f>
        <v>#VALUE!</v>
      </c>
      <c r="BZ23" s="294" t="e">
        <f>0.001*BY23/('1a. Spredningsmodell input'!$C$25+'1a. Spredningsmodell input'!$C$26/Mellomregninger!$K23)</f>
        <v>#VALUE!</v>
      </c>
      <c r="CA23" s="294" t="e">
        <f>1000*BZ23/$K23+BX23*1000000000/('1a. Spredningsmodell input'!$B$45*1000)</f>
        <v>#VALUE!</v>
      </c>
      <c r="CB23" s="294" t="e">
        <f t="shared" si="4"/>
        <v>#VALUE!</v>
      </c>
      <c r="CC23" s="294" t="e">
        <f>BX23*1000000000/('1a. Spredningsmodell input'!$B$45*1000)</f>
        <v>#VALUE!</v>
      </c>
      <c r="CD23" s="294" t="e">
        <f>V23+'1a. Spredningsmodell input'!$C$35</f>
        <v>#VALUE!</v>
      </c>
      <c r="CE23" s="294" t="e">
        <f>($S23+$Q23*($O23+$I23*($D23*(1-Stoff!$P23))*(1-EXP(-($F23+Stoff!$L23*365)*CD23)))*(1-EXP(-($N23+Stoff!$M23*365)*CD23)))</f>
        <v>#VALUE!</v>
      </c>
      <c r="CF23" s="294" t="e">
        <f t="shared" si="5"/>
        <v>#VALUE!</v>
      </c>
      <c r="CG23" s="296" t="e">
        <f>(CF23/1000000)*'1a. Spredningsmodell input'!$B$49*'1a. Spredningsmodell input'!$C$35</f>
        <v>#VALUE!</v>
      </c>
      <c r="CH23" s="294" t="e">
        <f t="shared" si="17"/>
        <v>#VALUE!</v>
      </c>
      <c r="CI23" s="290" t="e">
        <f>(CH23/1000000)*'1a. Spredningsmodell input'!$B$49*'1a. Spredningsmodell input'!$C$35</f>
        <v>#VALUE!</v>
      </c>
      <c r="CJ23" s="297" t="e">
        <f>($S23)*EXP(-(Stoff!$N23*365+$U23)*CD23)+CG23</f>
        <v>#VALUE!</v>
      </c>
      <c r="CK23" s="297" t="e">
        <f>(Stoff!$P23*$S23+CI23)*EXP(-$T23*CD23)</f>
        <v>#VALUE!</v>
      </c>
      <c r="CL23" s="297" t="e">
        <f>(CJ23+CK23)*1000000000/('1a. Spredningsmodell input'!$C$36*1000)</f>
        <v>#VALUE!</v>
      </c>
      <c r="CM23" s="297" t="e">
        <f>$G23*(1-EXP(-'1a. Spredningsmodell input'!$B$43*Mellomregninger!CD23))*(1-EXP(-'1a. Spredningsmodell input'!$B$46*Mellomregninger!CD23))</f>
        <v>#VALUE!</v>
      </c>
      <c r="CN23" s="297"/>
      <c r="CO23" s="297"/>
      <c r="CP23" s="290">
        <f>IF(ISNUMBER(AH23),AH23+'1a. Spredningsmodell input'!$C$35,'1a. Spredningsmodell input'!$C$35)</f>
        <v>1</v>
      </c>
      <c r="CQ23" s="294" t="e">
        <f>($S23+$Q23*($O23+$I23*($D23*(1-Stoff!$P23))*(1-EXP(-($F23+Stoff!$L23*365)*CP23)))*(1-EXP(-($N23+Stoff!$M23*365)*CP23)))</f>
        <v>#VALUE!</v>
      </c>
      <c r="CR23" s="294" t="e">
        <f t="shared" si="6"/>
        <v>#VALUE!</v>
      </c>
      <c r="CS23" s="296" t="e">
        <f>(CR23/1000000)*('1a. Spredningsmodell input'!$B$49*'1a. Spredningsmodell input'!$C$35)</f>
        <v>#VALUE!</v>
      </c>
      <c r="CT23" s="294" t="e">
        <f t="shared" si="7"/>
        <v>#VALUE!</v>
      </c>
      <c r="CU23" s="290" t="e">
        <f>(CT23/1000000)*('1a. Spredningsmodell input'!$B$49)*'1a. Spredningsmodell input'!$C$35</f>
        <v>#VALUE!</v>
      </c>
      <c r="CV23" s="297" t="e">
        <f>($S23)*EXP(-(Stoff!$N23*365+$U23)*CP23)+CS23</f>
        <v>#VALUE!</v>
      </c>
      <c r="CW23" s="297" t="e">
        <f>(Stoff!$P23*$S23+CU23)*EXP(-$T23*CP23)</f>
        <v>#VALUE!</v>
      </c>
      <c r="CX23" s="297">
        <f>IF(ISERROR(CV23),0,(CV23+CW23)*1000000000/('1a. Spredningsmodell input'!$C$36*1000))</f>
        <v>0</v>
      </c>
      <c r="CY23" s="297" t="e">
        <f>$G23*(1-EXP(-'1a. Spredningsmodell input'!$B$43*Mellomregninger!CP23))*(1-EXP(-'1a. Spredningsmodell input'!$B$46*Mellomregninger!CP23))</f>
        <v>#VALUE!</v>
      </c>
      <c r="CZ23" s="297"/>
      <c r="DA23" s="297"/>
      <c r="DB23" s="262">
        <f t="shared" si="18"/>
        <v>5</v>
      </c>
      <c r="DC23" s="298" t="e">
        <f>($S23+$Q23*($O23+$I23*($D23*(1-Stoff!$P23))*(1-EXP(-($F23+Stoff!$L23*365)*DB23)))*(1-EXP(-($N23+Stoff!$M23*365)*DB23)))</f>
        <v>#VALUE!</v>
      </c>
      <c r="DD23" s="294" t="e">
        <f t="shared" si="8"/>
        <v>#VALUE!</v>
      </c>
      <c r="DE23" s="296" t="e">
        <f>(DD23/1000000)*('1a. Spredningsmodell input'!$B$49)*'1a. Spredningsmodell input'!$C$35</f>
        <v>#VALUE!</v>
      </c>
      <c r="DF23" s="294" t="e">
        <f t="shared" si="19"/>
        <v>#VALUE!</v>
      </c>
      <c r="DG23" s="290" t="e">
        <f>(DF23/1000000)*('1a. Spredningsmodell input'!$B$49)*'1a. Spredningsmodell input'!$C$35</f>
        <v>#VALUE!</v>
      </c>
      <c r="DH23" s="297" t="e">
        <f>($S23)*EXP(-(Stoff!$N23*365+$U23)*DB23)+DE23</f>
        <v>#VALUE!</v>
      </c>
      <c r="DI23" s="297" t="e">
        <f>(Stoff!$P23*$S23+DG23)*EXP(-$T23*DB23)</f>
        <v>#VALUE!</v>
      </c>
      <c r="DJ23" s="297" t="e">
        <f>(DH23+DI23)*1000000000/('1a. Spredningsmodell input'!$C$36*1000)</f>
        <v>#VALUE!</v>
      </c>
      <c r="DK23" s="297" t="e">
        <f>$G23*(1-EXP(-'1a. Spredningsmodell input'!$B$43*Mellomregninger!DB23))*(1-EXP(-'1a. Spredningsmodell input'!$B$46*Mellomregninger!DB23))</f>
        <v>#VALUE!</v>
      </c>
      <c r="DL23" s="297"/>
      <c r="DM23" s="297"/>
      <c r="DN23" s="262">
        <f t="shared" si="20"/>
        <v>20</v>
      </c>
      <c r="DO23" s="298" t="e">
        <f>($S23+$Q23*($O23+$I23*($D23*(1-Stoff!$P23))*(1-EXP(-($F23+Stoff!$L23*365)*DN23)))*(1-EXP(-($N23+Stoff!$M23*365)*DN23)))</f>
        <v>#VALUE!</v>
      </c>
      <c r="DP23" s="294" t="e">
        <f t="shared" si="21"/>
        <v>#VALUE!</v>
      </c>
      <c r="DQ23" s="296" t="e">
        <f>(DP23/1000000)*('1a. Spredningsmodell input'!$B$49)*'1a. Spredningsmodell input'!$C$35</f>
        <v>#VALUE!</v>
      </c>
      <c r="DR23" s="294" t="e">
        <f t="shared" si="9"/>
        <v>#VALUE!</v>
      </c>
      <c r="DS23" s="290" t="e">
        <f>(DR23/1000000)*('1a. Spredningsmodell input'!$B$49)*'1a. Spredningsmodell input'!$C$35</f>
        <v>#VALUE!</v>
      </c>
      <c r="DT23" s="297" t="e">
        <f>($S23)*EXP(-(Stoff!$N23*365+$U23)*DN23)+DQ23</f>
        <v>#VALUE!</v>
      </c>
      <c r="DU23" s="297" t="e">
        <f>(Stoff!$P23*$S23+DS23)*EXP(-$T23*DN23)</f>
        <v>#VALUE!</v>
      </c>
      <c r="DV23" s="297" t="e">
        <f>(DT23+DU23)*1000000000/('1a. Spredningsmodell input'!$C$36*1000)</f>
        <v>#VALUE!</v>
      </c>
      <c r="DW23" s="297" t="e">
        <f>$G23*(1-EXP(-'1a. Spredningsmodell input'!$B$43*Mellomregninger!DN23))*(1-EXP(-'1a. Spredningsmodell input'!$B$46*Mellomregninger!DN23))</f>
        <v>#VALUE!</v>
      </c>
      <c r="DX23" s="297"/>
      <c r="DY23" s="297"/>
      <c r="DZ23" s="262">
        <f t="shared" si="22"/>
        <v>100</v>
      </c>
      <c r="EA23" s="298" t="e">
        <f>($S23+$Q23*($O23+$I23*($D23*(1-Stoff!$P23))*(1-EXP(-($F23+Stoff!$L23*365)*DZ23)))*(1-EXP(-($N23+Stoff!$M23*365)*DZ23)))</f>
        <v>#VALUE!</v>
      </c>
      <c r="EB23" s="294" t="e">
        <f t="shared" si="10"/>
        <v>#VALUE!</v>
      </c>
      <c r="EC23" s="296" t="e">
        <f>(EB23/1000000)*('1a. Spredningsmodell input'!$B$49)*'1a. Spredningsmodell input'!$C$35</f>
        <v>#VALUE!</v>
      </c>
      <c r="ED23" s="294" t="e">
        <f t="shared" si="11"/>
        <v>#VALUE!</v>
      </c>
      <c r="EE23" s="290" t="e">
        <f>(ED23/1000000)*('1a. Spredningsmodell input'!$B$49)*'1a. Spredningsmodell input'!$C$35</f>
        <v>#VALUE!</v>
      </c>
      <c r="EF23" s="297" t="e">
        <f>($S23)*EXP(-(Stoff!$N23*365+$U23)*DZ23)+EC23</f>
        <v>#VALUE!</v>
      </c>
      <c r="EG23" s="297" t="e">
        <f>(Stoff!$P23*$S23+EE23)*EXP(-$T23*DZ23)</f>
        <v>#VALUE!</v>
      </c>
      <c r="EH23" s="297" t="e">
        <f>(EF23+EG23)*1000000000/('1a. Spredningsmodell input'!$C$36*1000)</f>
        <v>#VALUE!</v>
      </c>
      <c r="EI23" s="297" t="e">
        <f>$G23*(1-EXP(-'1a. Spredningsmodell input'!$B$43*Mellomregninger!DZ23))*(1-EXP(-'1a. Spredningsmodell input'!$B$46*Mellomregninger!DZ23))</f>
        <v>#VALUE!</v>
      </c>
      <c r="EJ23" s="297"/>
      <c r="EK23" s="297"/>
      <c r="EL23" s="262">
        <f t="shared" si="23"/>
        <v>1.0000000000000001E+25</v>
      </c>
      <c r="EM23" s="294" t="e">
        <f>($S23+$Q23*($O23+$I23*($D23*(1-Stoff!$P23))*(1-EXP(-($F23+Stoff!$L23*365)*EL23)))*(1-EXP(-($N23+Stoff!$M23*365)*EL23)))</f>
        <v>#VALUE!</v>
      </c>
      <c r="EN23" s="296" t="e">
        <f>($S23+$Q23*($O23+$I23*($D23*(1-Stoff!$P23))*(1-EXP(-($F23+Stoff!$L23*365)*(EL23-'1a. Spredningsmodell input'!$C$35))))*(1-EXP(-($N23+Stoff!$M23*365)*(EL23-'1a. Spredningsmodell input'!$C$35))))</f>
        <v>#VALUE!</v>
      </c>
      <c r="EO23" s="294" t="e">
        <f>IF(EL23&lt;'1a. Spredningsmodell input'!$C$35,EM23-($S23)*EXP(-(Stoff!$N23*365+$U23)*EL23),EM23-EN23)</f>
        <v>#VALUE!</v>
      </c>
      <c r="EP23" s="290" t="e">
        <f>((($D23*(Stoff!$P23))*(1-EXP(-'1a. Spredningsmodell input'!$B$43*EL23)))*(1-EXP(-'1a. Spredningsmodell input'!$B$46*EL23)))</f>
        <v>#VALUE!</v>
      </c>
      <c r="EQ23" s="294" t="e">
        <f>((($D23*(Stoff!$P23))*(1-EXP(-'1a. Spredningsmodell input'!$B$43*(EL23-'1a. Spredningsmodell input'!$C$35))))*(1-EXP(-'1a. Spredningsmodell input'!$B$46*(EL23-'1a. Spredningsmodell input'!$C$35))))</f>
        <v>#VALUE!</v>
      </c>
      <c r="ER23" s="290" t="e">
        <f>IF(EL23&lt;'1a. Spredningsmodell input'!$C$35,0,EP23-EQ23)</f>
        <v>#VALUE!</v>
      </c>
      <c r="ES23" s="297" t="e">
        <f>($S23)*EXP(-(Stoff!$N23*365+$U23)*EL23)+EO23</f>
        <v>#VALUE!</v>
      </c>
      <c r="ET23" s="297" t="e">
        <f>(Stoff!$P23*$S23+ER23)*EXP(-$T23*EL23)</f>
        <v>#VALUE!</v>
      </c>
      <c r="EU23" s="297" t="e">
        <f>(ES23+ET23)*1000000000/('1a. Spredningsmodell input'!$C$36*1000)</f>
        <v>#VALUE!</v>
      </c>
      <c r="EV23" s="262" t="e">
        <f t="shared" si="12"/>
        <v>#VALUE!</v>
      </c>
      <c r="EW23" s="299" t="e">
        <f t="shared" si="13"/>
        <v>#VALUE!</v>
      </c>
      <c r="EX23" s="262" t="e">
        <f t="shared" si="24"/>
        <v>#VALUE!</v>
      </c>
    </row>
    <row r="24" spans="1:154" x14ac:dyDescent="0.35">
      <c r="A24" s="50" t="s">
        <v>186</v>
      </c>
      <c r="B24" s="34" t="str">
        <f>IF(ISNUMBER('1c. Kons. porevann'!E24),1000*'1c. Kons. porevann'!E24,IF(ISNUMBER('1b. Kons. umettet jord'!E24),1000*'1b. Kons. umettet jord'!E24/C24,""))</f>
        <v/>
      </c>
      <c r="C24" s="244">
        <f>IF(Stoff!B24="uorganisk",Stoff!C24,Stoff!D24*'1a. Spredningsmodell input'!$C$11)</f>
        <v>58.88</v>
      </c>
      <c r="D24" s="34" t="str">
        <f>IF(ISNUMBER(B24),0.000001*('1b. Kons. umettet jord'!G24*'1a. Spredningsmodell input'!$C$12+B24*0.001*'1a. Spredningsmodell input'!$C$14)*1000*'1a. Spredningsmodell input'!$B$41*'1a. Spredningsmodell input'!$C$18,"")</f>
        <v/>
      </c>
      <c r="E24" s="283">
        <f>C24*'1a. Spredningsmodell input'!$C$12/'1a. Spredningsmodell input'!$C$14+1</f>
        <v>501.48</v>
      </c>
      <c r="F24" s="284">
        <f>'1a. Spredningsmodell input'!$B$43/E24</f>
        <v>2.9911462072266088E-3</v>
      </c>
      <c r="G24" s="34" t="e">
        <f>Stoff!P24*Mellomregninger!D24</f>
        <v>#VALUE!</v>
      </c>
      <c r="H24" s="283" t="e">
        <f>(D24-G24)*(F24/(F24+Stoff!L24))</f>
        <v>#VALUE!</v>
      </c>
      <c r="I24" s="283">
        <f>F24/(F24+Stoff!L24)</f>
        <v>1</v>
      </c>
      <c r="J24" s="285" t="str">
        <f>IF(B24="","",IF(ISNUMBER('1d. Kons. mettet sone'!E24),'1d. Kons. mettet sone'!E24,IF(ISNUMBER('1e. Kons. grunnvann'!E24),'1e. Kons. grunnvann'!E24*Mellomregninger!K24,0)))</f>
        <v/>
      </c>
      <c r="K24" s="286">
        <f>IF(Stoff!B24="uorganisk",Stoff!C24,Stoff!D24*'1a. Spredningsmodell input'!$C$24)</f>
        <v>5.8879999999999999</v>
      </c>
      <c r="L24" s="27" t="e">
        <f>IF(ISNUMBER('1e. Kons. grunnvann'!E24),1000*'1e. Kons. grunnvann'!E24,1000*J24/K24)</f>
        <v>#VALUE!</v>
      </c>
      <c r="M24" s="34">
        <f>K24*'1a. Spredningsmodell input'!$C$25/'1a. Spredningsmodell input'!$C$26+1</f>
        <v>26.023999999999997</v>
      </c>
      <c r="N24" s="284">
        <f>'1a. Spredningsmodell input'!$C$26/M24</f>
        <v>1.5370427297878884E-2</v>
      </c>
      <c r="O24" s="287" t="e">
        <f>0.000000001*(J24*'1a. Spredningsmodell input'!$C$25+L24)*1000*'1a. Spredningsmodell input'!$B$45</f>
        <v>#VALUE!</v>
      </c>
      <c r="P24" s="287" t="e">
        <f>O24*Stoff!P24</f>
        <v>#VALUE!</v>
      </c>
      <c r="Q24" s="287">
        <f>N24/(N24+Stoff!M24)</f>
        <v>1</v>
      </c>
      <c r="R24" s="288">
        <f>IF(ISNUMBER('1f. Kons. resipient'!E24),'1f. Kons. resipient'!E24,0)</f>
        <v>0</v>
      </c>
      <c r="S24" s="288">
        <f>0.000000001*'1a. Spredningsmodell input'!$C$36*R24*1000</f>
        <v>0</v>
      </c>
      <c r="T24" s="288">
        <f>1/'1a. Spredningsmodell input'!$C$35</f>
        <v>1</v>
      </c>
      <c r="U24" s="288">
        <f>1/'1a. Spredningsmodell input'!$C$35</f>
        <v>1</v>
      </c>
      <c r="V24" s="300" t="e">
        <f>(1/($N24+Stoff!$L24))*(LN(($D24*$I24/($D24*$I24+$J24))*($F24+Stoff!$L24+$N24+Stoff!$M24)/($N24+Stoff!$M24)))</f>
        <v>#VALUE!</v>
      </c>
      <c r="W24" s="290" t="e">
        <f>($D24-Stoff!$P24*$D24)*EXP(-($F24+Stoff!$L24*365)*V24)</f>
        <v>#VALUE!</v>
      </c>
      <c r="X24" s="291" t="e">
        <f>(Stoff!$P24*$D24)*EXP(-'1a. Spredningsmodell input'!$B$43*V24)</f>
        <v>#VALUE!</v>
      </c>
      <c r="Y24" s="290" t="e">
        <f>($D24-Stoff!$P24*$D24-W24)*($F24/($F24+Stoff!$L24*365))</f>
        <v>#VALUE!</v>
      </c>
      <c r="Z24" s="290" t="e">
        <f>(Stoff!$P24*$D24)-X24</f>
        <v>#VALUE!</v>
      </c>
      <c r="AA24" s="290" t="e">
        <f>($O24+Y24)*EXP(-($N24+Stoff!$M24*365)*V24)</f>
        <v>#VALUE!</v>
      </c>
      <c r="AB24" s="290" t="e">
        <f>(Stoff!$P24*$O24+Z24)*EXP(-('1a. Spredningsmodell input'!$B$46)*V24)</f>
        <v>#VALUE!</v>
      </c>
      <c r="AC24" s="292" t="e">
        <f>((AA24+AB24)*1000000000)/('1a. Spredningsmodell input'!$B$45*1000)</f>
        <v>#VALUE!</v>
      </c>
      <c r="AD24" s="294" t="e">
        <f>0.001*AC24/('1a. Spredningsmodell input'!$C$25+'1a. Spredningsmodell input'!$C$26/Mellomregninger!$K24)</f>
        <v>#VALUE!</v>
      </c>
      <c r="AE24" s="294" t="e">
        <f>1000*AD24/$K24+AB24*1000000000/('1a. Spredningsmodell input'!$B$45*1000)</f>
        <v>#VALUE!</v>
      </c>
      <c r="AF24" s="294" t="e">
        <f t="shared" si="0"/>
        <v>#VALUE!</v>
      </c>
      <c r="AG24" s="294" t="e">
        <f>AB24*1000000000/('1a. Spredningsmodell input'!$B$45*1000)</f>
        <v>#VALUE!</v>
      </c>
      <c r="AH24" s="300" t="e">
        <f>(1/('1a. Spredningsmodell input'!$B$46))*(LN(($D24*Stoff!$P24/($D24*Stoff!$P24+$P24*Stoff!$P24))*('1a. Spredningsmodell input'!$B$43+'1a. Spredningsmodell input'!$B$46)/('1a. Spredningsmodell input'!$B$46)))</f>
        <v>#VALUE!</v>
      </c>
      <c r="AI24" s="290" t="e">
        <f>($D24-Stoff!$P24*$D24)*EXP(-($F24+Stoff!$L24*365)*AH24)</f>
        <v>#VALUE!</v>
      </c>
      <c r="AJ24" s="291" t="e">
        <f>(Stoff!$P24*$D24)*EXP(-'1a. Spredningsmodell input'!$B$43*AH24)</f>
        <v>#VALUE!</v>
      </c>
      <c r="AK24" s="290" t="e">
        <f>($D24-Stoff!$P24*$D24-AI24)*($F24/($F24+Stoff!$L24*365))</f>
        <v>#VALUE!</v>
      </c>
      <c r="AL24" s="290" t="e">
        <f>(Stoff!$P24*$D24)-AJ24</f>
        <v>#VALUE!</v>
      </c>
      <c r="AM24" s="290" t="e">
        <f>($O24+AK24)*EXP(-($N24+Stoff!$M24*365)*AH24)</f>
        <v>#VALUE!</v>
      </c>
      <c r="AN24" s="290" t="e">
        <f>(Stoff!$P24*$O24+AL24)*EXP(-('1a. Spredningsmodell input'!$B$46)*AH24)</f>
        <v>#VALUE!</v>
      </c>
      <c r="AO24" s="292" t="e">
        <f>((AM24+AN24)*1000000000)/('1a. Spredningsmodell input'!$B$45*1000)</f>
        <v>#VALUE!</v>
      </c>
      <c r="AP24" s="294" t="e">
        <f>0.001*AO24/('1a. Spredningsmodell input'!$C$25+'1a. Spredningsmodell input'!$C$26/Mellomregninger!$K24)</f>
        <v>#VALUE!</v>
      </c>
      <c r="AQ24" s="294" t="e">
        <f>1000*AP24/$K24+AN24*1000000000/('1a. Spredningsmodell input'!$B$45*1000)</f>
        <v>#VALUE!</v>
      </c>
      <c r="AR24" s="294" t="e">
        <f t="shared" si="1"/>
        <v>#VALUE!</v>
      </c>
      <c r="AS24" s="294" t="e">
        <f>AN24*1000000000/('1a. Spredningsmodell input'!$B$45*1000)</f>
        <v>#VALUE!</v>
      </c>
      <c r="AT24" s="295">
        <f t="shared" si="14"/>
        <v>5</v>
      </c>
      <c r="AU24" s="290" t="e">
        <f>($D24-Stoff!$P24*$D24)*EXP(-($F24+Stoff!$L24*365)*AT24)</f>
        <v>#VALUE!</v>
      </c>
      <c r="AV24" s="291" t="e">
        <f>(Stoff!$P24*$D24)*EXP(-'1a. Spredningsmodell input'!$B$43*AT24)</f>
        <v>#VALUE!</v>
      </c>
      <c r="AW24" s="290" t="e">
        <f>($D24-Stoff!$P24*$D24-AU24)*($F24/($F24+Stoff!$L24*365))</f>
        <v>#VALUE!</v>
      </c>
      <c r="AX24" s="290" t="e">
        <f>(Stoff!$P24*$D24)-AV24</f>
        <v>#VALUE!</v>
      </c>
      <c r="AY24" s="290" t="e">
        <f>($O24+AW24)*EXP(-($N24+Stoff!$M24*365)*AT24)</f>
        <v>#VALUE!</v>
      </c>
      <c r="AZ24" s="290" t="e">
        <f>(Stoff!$P24*$O24+AX24)*EXP(-('1a. Spredningsmodell input'!$B$46)*AT24)</f>
        <v>#VALUE!</v>
      </c>
      <c r="BA24" s="292" t="e">
        <f>((AY24+AZ24)*1000000000)/('1a. Spredningsmodell input'!$B$45*1000)</f>
        <v>#VALUE!</v>
      </c>
      <c r="BB24" s="294" t="e">
        <f>0.001*BA24/('1a. Spredningsmodell input'!$C$25+'1a. Spredningsmodell input'!$C$26/Mellomregninger!$K24)</f>
        <v>#VALUE!</v>
      </c>
      <c r="BC24" s="294" t="e">
        <f>1000*BB24/$K24+AZ24*1000000000/('1a. Spredningsmodell input'!$B$45*1000)</f>
        <v>#VALUE!</v>
      </c>
      <c r="BD24" s="294" t="e">
        <f t="shared" si="2"/>
        <v>#VALUE!</v>
      </c>
      <c r="BE24" s="294" t="e">
        <f>AZ24*1000000000/('1a. Spredningsmodell input'!$B$45*1000)</f>
        <v>#VALUE!</v>
      </c>
      <c r="BF24" s="295">
        <f t="shared" si="15"/>
        <v>20</v>
      </c>
      <c r="BG24" s="290" t="e">
        <f>($D24-Stoff!$P24*$D24)*EXP(-($F24+Stoff!$L24*365)*BF24)</f>
        <v>#VALUE!</v>
      </c>
      <c r="BH24" s="291" t="e">
        <f>(Stoff!$P24*$D24)*EXP(-'1a. Spredningsmodell input'!$B$43*BF24)</f>
        <v>#VALUE!</v>
      </c>
      <c r="BI24" s="290" t="e">
        <f>($D24-Stoff!$P24*$D24-BG24)*($F24/($F24+Stoff!$L24*365))</f>
        <v>#VALUE!</v>
      </c>
      <c r="BJ24" s="290" t="e">
        <f>(Stoff!$P24*$D24)-BH24</f>
        <v>#VALUE!</v>
      </c>
      <c r="BK24" s="290" t="e">
        <f>($O24+BI24)*EXP(-($N24+Stoff!$M24*365)*BF24)</f>
        <v>#VALUE!</v>
      </c>
      <c r="BL24" s="290" t="e">
        <f>(Stoff!$P24*$O24+BJ24)*EXP(-('1a. Spredningsmodell input'!$B$46)*BF24)</f>
        <v>#VALUE!</v>
      </c>
      <c r="BM24" s="292" t="e">
        <f>((BK24+BL24)*1000000000)/('1a. Spredningsmodell input'!$B$45*1000)</f>
        <v>#VALUE!</v>
      </c>
      <c r="BN24" s="294" t="e">
        <f>0.001*BM24/('1a. Spredningsmodell input'!$C$25+'1a. Spredningsmodell input'!$C$26/Mellomregninger!$K24)</f>
        <v>#VALUE!</v>
      </c>
      <c r="BO24" s="294" t="e">
        <f>1000*BN24/$K24+BL24*1000000000/('1a. Spredningsmodell input'!$B$45*1000)</f>
        <v>#VALUE!</v>
      </c>
      <c r="BP24" s="294" t="e">
        <f t="shared" si="3"/>
        <v>#VALUE!</v>
      </c>
      <c r="BQ24" s="294" t="e">
        <f>BL24*1000000000/('1a. Spredningsmodell input'!$B$45*1000)</f>
        <v>#VALUE!</v>
      </c>
      <c r="BR24" s="295">
        <f t="shared" si="16"/>
        <v>100</v>
      </c>
      <c r="BS24" s="290" t="e">
        <f>($D24-Stoff!$P24*$D24)*EXP(-($F24+Stoff!$L24*365)*BR24)</f>
        <v>#VALUE!</v>
      </c>
      <c r="BT24" s="291" t="e">
        <f>(Stoff!$P24*$D24)*EXP(-'1a. Spredningsmodell input'!$B$43*BR24)</f>
        <v>#VALUE!</v>
      </c>
      <c r="BU24" s="290" t="e">
        <f>($D24-Stoff!$P24*$D24-BS24)*($F24/($F24+Stoff!$L24*365))</f>
        <v>#VALUE!</v>
      </c>
      <c r="BV24" s="290" t="e">
        <f>(Stoff!$P24*$D24)-BT24</f>
        <v>#VALUE!</v>
      </c>
      <c r="BW24" s="290" t="e">
        <f>($O24+BU24)*EXP(-($N24+Stoff!$M24*365)*BR24)</f>
        <v>#VALUE!</v>
      </c>
      <c r="BX24" s="290" t="e">
        <f>(Stoff!$P24*$O24+BV24)*EXP(-('1a. Spredningsmodell input'!$B$46)*BR24)</f>
        <v>#VALUE!</v>
      </c>
      <c r="BY24" s="292" t="e">
        <f>((BW24+BX24)*1000000000)/('1a. Spredningsmodell input'!$B$45*1000)</f>
        <v>#VALUE!</v>
      </c>
      <c r="BZ24" s="294" t="e">
        <f>0.001*BY24/('1a. Spredningsmodell input'!$C$25+'1a. Spredningsmodell input'!$C$26/Mellomregninger!$K24)</f>
        <v>#VALUE!</v>
      </c>
      <c r="CA24" s="294" t="e">
        <f>1000*BZ24/$K24+BX24*1000000000/('1a. Spredningsmodell input'!$B$45*1000)</f>
        <v>#VALUE!</v>
      </c>
      <c r="CB24" s="294" t="e">
        <f t="shared" si="4"/>
        <v>#VALUE!</v>
      </c>
      <c r="CC24" s="294" t="e">
        <f>BX24*1000000000/('1a. Spredningsmodell input'!$B$45*1000)</f>
        <v>#VALUE!</v>
      </c>
      <c r="CD24" s="294" t="e">
        <f>V24+'1a. Spredningsmodell input'!$C$35</f>
        <v>#VALUE!</v>
      </c>
      <c r="CE24" s="294" t="e">
        <f>($S24+$Q24*($O24+$I24*($D24*(1-Stoff!$P24))*(1-EXP(-($F24+Stoff!$L24*365)*CD24)))*(1-EXP(-($N24+Stoff!$M24*365)*CD24)))</f>
        <v>#VALUE!</v>
      </c>
      <c r="CF24" s="294" t="e">
        <f t="shared" si="5"/>
        <v>#VALUE!</v>
      </c>
      <c r="CG24" s="296" t="e">
        <f>(CF24/1000000)*'1a. Spredningsmodell input'!$B$49*'1a. Spredningsmodell input'!$C$35</f>
        <v>#VALUE!</v>
      </c>
      <c r="CH24" s="294" t="e">
        <f t="shared" si="17"/>
        <v>#VALUE!</v>
      </c>
      <c r="CI24" s="290" t="e">
        <f>(CH24/1000000)*'1a. Spredningsmodell input'!$B$49*'1a. Spredningsmodell input'!$C$35</f>
        <v>#VALUE!</v>
      </c>
      <c r="CJ24" s="297" t="e">
        <f>($S24)*EXP(-(Stoff!$N24*365+$U24)*CD24)+CG24</f>
        <v>#VALUE!</v>
      </c>
      <c r="CK24" s="297" t="e">
        <f>(Stoff!$P24*$S24+CI24)*EXP(-$T24*CD24)</f>
        <v>#VALUE!</v>
      </c>
      <c r="CL24" s="297" t="e">
        <f>(CJ24+CK24)*1000000000/('1a. Spredningsmodell input'!$C$36*1000)</f>
        <v>#VALUE!</v>
      </c>
      <c r="CM24" s="297" t="e">
        <f>$G24*(1-EXP(-'1a. Spredningsmodell input'!$B$43*Mellomregninger!CD24))*(1-EXP(-'1a. Spredningsmodell input'!$B$46*Mellomregninger!CD24))</f>
        <v>#VALUE!</v>
      </c>
      <c r="CN24" s="297"/>
      <c r="CO24" s="297"/>
      <c r="CP24" s="290">
        <f>IF(ISNUMBER(AH24),AH24+'1a. Spredningsmodell input'!$C$35,'1a. Spredningsmodell input'!$C$35)</f>
        <v>1</v>
      </c>
      <c r="CQ24" s="294" t="e">
        <f>($S24+$Q24*($O24+$I24*($D24*(1-Stoff!$P24))*(1-EXP(-($F24+Stoff!$L24*365)*CP24)))*(1-EXP(-($N24+Stoff!$M24*365)*CP24)))</f>
        <v>#VALUE!</v>
      </c>
      <c r="CR24" s="294" t="e">
        <f t="shared" si="6"/>
        <v>#VALUE!</v>
      </c>
      <c r="CS24" s="296" t="e">
        <f>(CR24/1000000)*('1a. Spredningsmodell input'!$B$49*'1a. Spredningsmodell input'!$C$35)</f>
        <v>#VALUE!</v>
      </c>
      <c r="CT24" s="294" t="e">
        <f t="shared" si="7"/>
        <v>#VALUE!</v>
      </c>
      <c r="CU24" s="290" t="e">
        <f>(CT24/1000000)*('1a. Spredningsmodell input'!$B$49)*'1a. Spredningsmodell input'!$C$35</f>
        <v>#VALUE!</v>
      </c>
      <c r="CV24" s="297" t="e">
        <f>($S24)*EXP(-(Stoff!$N24*365+$U24)*CP24)+CS24</f>
        <v>#VALUE!</v>
      </c>
      <c r="CW24" s="297" t="e">
        <f>(Stoff!$P24*$S24+CU24)*EXP(-$T24*CP24)</f>
        <v>#VALUE!</v>
      </c>
      <c r="CX24" s="297">
        <f>IF(ISERROR(CV24),0,(CV24+CW24)*1000000000/('1a. Spredningsmodell input'!$C$36*1000))</f>
        <v>0</v>
      </c>
      <c r="CY24" s="297" t="e">
        <f>$G24*(1-EXP(-'1a. Spredningsmodell input'!$B$43*Mellomregninger!CP24))*(1-EXP(-'1a. Spredningsmodell input'!$B$46*Mellomregninger!CP24))</f>
        <v>#VALUE!</v>
      </c>
      <c r="CZ24" s="297"/>
      <c r="DA24" s="297"/>
      <c r="DB24" s="262">
        <f t="shared" si="18"/>
        <v>5</v>
      </c>
      <c r="DC24" s="298" t="e">
        <f>($S24+$Q24*($O24+$I24*($D24*(1-Stoff!$P24))*(1-EXP(-($F24+Stoff!$L24*365)*DB24)))*(1-EXP(-($N24+Stoff!$M24*365)*DB24)))</f>
        <v>#VALUE!</v>
      </c>
      <c r="DD24" s="294" t="e">
        <f t="shared" si="8"/>
        <v>#VALUE!</v>
      </c>
      <c r="DE24" s="296" t="e">
        <f>(DD24/1000000)*('1a. Spredningsmodell input'!$B$49)*'1a. Spredningsmodell input'!$C$35</f>
        <v>#VALUE!</v>
      </c>
      <c r="DF24" s="294" t="e">
        <f t="shared" si="19"/>
        <v>#VALUE!</v>
      </c>
      <c r="DG24" s="290" t="e">
        <f>(DF24/1000000)*('1a. Spredningsmodell input'!$B$49)*'1a. Spredningsmodell input'!$C$35</f>
        <v>#VALUE!</v>
      </c>
      <c r="DH24" s="297" t="e">
        <f>($S24)*EXP(-(Stoff!$N24*365+$U24)*DB24)+DE24</f>
        <v>#VALUE!</v>
      </c>
      <c r="DI24" s="297" t="e">
        <f>(Stoff!$P24*$S24+DG24)*EXP(-$T24*DB24)</f>
        <v>#VALUE!</v>
      </c>
      <c r="DJ24" s="297" t="e">
        <f>(DH24+DI24)*1000000000/('1a. Spredningsmodell input'!$C$36*1000)</f>
        <v>#VALUE!</v>
      </c>
      <c r="DK24" s="297" t="e">
        <f>$G24*(1-EXP(-'1a. Spredningsmodell input'!$B$43*Mellomregninger!DB24))*(1-EXP(-'1a. Spredningsmodell input'!$B$46*Mellomregninger!DB24))</f>
        <v>#VALUE!</v>
      </c>
      <c r="DL24" s="297"/>
      <c r="DM24" s="297"/>
      <c r="DN24" s="262">
        <f t="shared" si="20"/>
        <v>20</v>
      </c>
      <c r="DO24" s="298" t="e">
        <f>($S24+$Q24*($O24+$I24*($D24*(1-Stoff!$P24))*(1-EXP(-($F24+Stoff!$L24*365)*DN24)))*(1-EXP(-($N24+Stoff!$M24*365)*DN24)))</f>
        <v>#VALUE!</v>
      </c>
      <c r="DP24" s="294" t="e">
        <f t="shared" si="21"/>
        <v>#VALUE!</v>
      </c>
      <c r="DQ24" s="296" t="e">
        <f>(DP24/1000000)*('1a. Spredningsmodell input'!$B$49)*'1a. Spredningsmodell input'!$C$35</f>
        <v>#VALUE!</v>
      </c>
      <c r="DR24" s="294" t="e">
        <f t="shared" si="9"/>
        <v>#VALUE!</v>
      </c>
      <c r="DS24" s="290" t="e">
        <f>(DR24/1000000)*('1a. Spredningsmodell input'!$B$49)*'1a. Spredningsmodell input'!$C$35</f>
        <v>#VALUE!</v>
      </c>
      <c r="DT24" s="297" t="e">
        <f>($S24)*EXP(-(Stoff!$N24*365+$U24)*DN24)+DQ24</f>
        <v>#VALUE!</v>
      </c>
      <c r="DU24" s="297" t="e">
        <f>(Stoff!$P24*$S24+DS24)*EXP(-$T24*DN24)</f>
        <v>#VALUE!</v>
      </c>
      <c r="DV24" s="297" t="e">
        <f>(DT24+DU24)*1000000000/('1a. Spredningsmodell input'!$C$36*1000)</f>
        <v>#VALUE!</v>
      </c>
      <c r="DW24" s="297" t="e">
        <f>$G24*(1-EXP(-'1a. Spredningsmodell input'!$B$43*Mellomregninger!DN24))*(1-EXP(-'1a. Spredningsmodell input'!$B$46*Mellomregninger!DN24))</f>
        <v>#VALUE!</v>
      </c>
      <c r="DX24" s="297"/>
      <c r="DY24" s="297"/>
      <c r="DZ24" s="262">
        <f t="shared" si="22"/>
        <v>100</v>
      </c>
      <c r="EA24" s="298" t="e">
        <f>($S24+$Q24*($O24+$I24*($D24*(1-Stoff!$P24))*(1-EXP(-($F24+Stoff!$L24*365)*DZ24)))*(1-EXP(-($N24+Stoff!$M24*365)*DZ24)))</f>
        <v>#VALUE!</v>
      </c>
      <c r="EB24" s="294" t="e">
        <f t="shared" si="10"/>
        <v>#VALUE!</v>
      </c>
      <c r="EC24" s="296" t="e">
        <f>(EB24/1000000)*('1a. Spredningsmodell input'!$B$49)*'1a. Spredningsmodell input'!$C$35</f>
        <v>#VALUE!</v>
      </c>
      <c r="ED24" s="294" t="e">
        <f t="shared" si="11"/>
        <v>#VALUE!</v>
      </c>
      <c r="EE24" s="290" t="e">
        <f>(ED24/1000000)*('1a. Spredningsmodell input'!$B$49)*'1a. Spredningsmodell input'!$C$35</f>
        <v>#VALUE!</v>
      </c>
      <c r="EF24" s="297" t="e">
        <f>($S24)*EXP(-(Stoff!$N24*365+$U24)*DZ24)+EC24</f>
        <v>#VALUE!</v>
      </c>
      <c r="EG24" s="297" t="e">
        <f>(Stoff!$P24*$S24+EE24)*EXP(-$T24*DZ24)</f>
        <v>#VALUE!</v>
      </c>
      <c r="EH24" s="297" t="e">
        <f>(EF24+EG24)*1000000000/('1a. Spredningsmodell input'!$C$36*1000)</f>
        <v>#VALUE!</v>
      </c>
      <c r="EI24" s="297" t="e">
        <f>$G24*(1-EXP(-'1a. Spredningsmodell input'!$B$43*Mellomregninger!DZ24))*(1-EXP(-'1a. Spredningsmodell input'!$B$46*Mellomregninger!DZ24))</f>
        <v>#VALUE!</v>
      </c>
      <c r="EJ24" s="297"/>
      <c r="EK24" s="297"/>
      <c r="EL24" s="262">
        <f t="shared" si="23"/>
        <v>1.0000000000000001E+25</v>
      </c>
      <c r="EM24" s="294" t="e">
        <f>($S24+$Q24*($O24+$I24*($D24*(1-Stoff!$P24))*(1-EXP(-($F24+Stoff!$L24*365)*EL24)))*(1-EXP(-($N24+Stoff!$M24*365)*EL24)))</f>
        <v>#VALUE!</v>
      </c>
      <c r="EN24" s="296" t="e">
        <f>($S24+$Q24*($O24+$I24*($D24*(1-Stoff!$P24))*(1-EXP(-($F24+Stoff!$L24*365)*(EL24-'1a. Spredningsmodell input'!$C$35))))*(1-EXP(-($N24+Stoff!$M24*365)*(EL24-'1a. Spredningsmodell input'!$C$35))))</f>
        <v>#VALUE!</v>
      </c>
      <c r="EO24" s="294" t="e">
        <f>IF(EL24&lt;'1a. Spredningsmodell input'!$C$35,EM24-($S24)*EXP(-(Stoff!$N24*365+$U24)*EL24),EM24-EN24)</f>
        <v>#VALUE!</v>
      </c>
      <c r="EP24" s="290" t="e">
        <f>((($D24*(Stoff!$P24))*(1-EXP(-'1a. Spredningsmodell input'!$B$43*EL24)))*(1-EXP(-'1a. Spredningsmodell input'!$B$46*EL24)))</f>
        <v>#VALUE!</v>
      </c>
      <c r="EQ24" s="294" t="e">
        <f>((($D24*(Stoff!$P24))*(1-EXP(-'1a. Spredningsmodell input'!$B$43*(EL24-'1a. Spredningsmodell input'!$C$35))))*(1-EXP(-'1a. Spredningsmodell input'!$B$46*(EL24-'1a. Spredningsmodell input'!$C$35))))</f>
        <v>#VALUE!</v>
      </c>
      <c r="ER24" s="290" t="e">
        <f>IF(EL24&lt;'1a. Spredningsmodell input'!$C$35,0,EP24-EQ24)</f>
        <v>#VALUE!</v>
      </c>
      <c r="ES24" s="297" t="e">
        <f>($S24)*EXP(-(Stoff!$N24*365+$U24)*EL24)+EO24</f>
        <v>#VALUE!</v>
      </c>
      <c r="ET24" s="297" t="e">
        <f>(Stoff!$P24*$S24+ER24)*EXP(-$T24*EL24)</f>
        <v>#VALUE!</v>
      </c>
      <c r="EU24" s="297" t="e">
        <f>(ES24+ET24)*1000000000/('1a. Spredningsmodell input'!$C$36*1000)</f>
        <v>#VALUE!</v>
      </c>
      <c r="EV24" s="262" t="e">
        <f t="shared" si="12"/>
        <v>#VALUE!</v>
      </c>
      <c r="EW24" s="299" t="e">
        <f t="shared" si="13"/>
        <v>#VALUE!</v>
      </c>
      <c r="EX24" s="262" t="e">
        <f t="shared" si="24"/>
        <v>#VALUE!</v>
      </c>
    </row>
    <row r="25" spans="1:154" x14ac:dyDescent="0.35">
      <c r="A25" s="50" t="s">
        <v>185</v>
      </c>
      <c r="B25" s="34" t="str">
        <f>IF(ISNUMBER('1c. Kons. porevann'!E25),1000*'1c. Kons. porevann'!E25,IF(ISNUMBER('1b. Kons. umettet jord'!E25),1000*'1b. Kons. umettet jord'!E25/C25,""))</f>
        <v/>
      </c>
      <c r="C25" s="244">
        <f>IF(Stoff!B25="uorganisk",Stoff!C25,Stoff!D25*'1a. Spredningsmodell input'!$C$11)</f>
        <v>400</v>
      </c>
      <c r="D25" s="34" t="str">
        <f>IF(ISNUMBER(B25),0.000001*('1b. Kons. umettet jord'!G25*'1a. Spredningsmodell input'!$C$12+B25*0.001*'1a. Spredningsmodell input'!$C$14)*1000*'1a. Spredningsmodell input'!$B$41*'1a. Spredningsmodell input'!$C$18,"")</f>
        <v/>
      </c>
      <c r="E25" s="283">
        <f>C25*'1a. Spredningsmodell input'!$C$12/'1a. Spredningsmodell input'!$C$14+1</f>
        <v>3401</v>
      </c>
      <c r="F25" s="284">
        <f>'1a. Spredningsmodell input'!$B$43/E25</f>
        <v>4.410467509556012E-4</v>
      </c>
      <c r="G25" s="34" t="e">
        <f>Stoff!P25*Mellomregninger!D25</f>
        <v>#VALUE!</v>
      </c>
      <c r="H25" s="283" t="e">
        <f>(D25-G25)*(F25/(F25+Stoff!L25))</f>
        <v>#VALUE!</v>
      </c>
      <c r="I25" s="283">
        <f>F25/(F25+Stoff!L25)</f>
        <v>1</v>
      </c>
      <c r="J25" s="285" t="str">
        <f>IF(B25="","",IF(ISNUMBER('1d. Kons. mettet sone'!E25),'1d. Kons. mettet sone'!E25,IF(ISNUMBER('1e. Kons. grunnvann'!E25),'1e. Kons. grunnvann'!E25*Mellomregninger!K25,0)))</f>
        <v/>
      </c>
      <c r="K25" s="286">
        <f>IF(Stoff!B25="uorganisk",Stoff!C25,Stoff!D25*'1a. Spredningsmodell input'!$C$24)</f>
        <v>40</v>
      </c>
      <c r="L25" s="27" t="e">
        <f>IF(ISNUMBER('1e. Kons. grunnvann'!E25),1000*'1e. Kons. grunnvann'!E25,1000*J25/K25)</f>
        <v>#VALUE!</v>
      </c>
      <c r="M25" s="34">
        <f>K25*'1a. Spredningsmodell input'!$C$25/'1a. Spredningsmodell input'!$C$26+1</f>
        <v>171</v>
      </c>
      <c r="N25" s="284">
        <f>'1a. Spredningsmodell input'!$C$26/M25</f>
        <v>2.3391812865497076E-3</v>
      </c>
      <c r="O25" s="287" t="e">
        <f>0.000000001*(J25*'1a. Spredningsmodell input'!$C$25+L25)*1000*'1a. Spredningsmodell input'!$B$45</f>
        <v>#VALUE!</v>
      </c>
      <c r="P25" s="287" t="e">
        <f>O25*Stoff!P25</f>
        <v>#VALUE!</v>
      </c>
      <c r="Q25" s="287">
        <f>N25/(N25+Stoff!M25)</f>
        <v>1</v>
      </c>
      <c r="R25" s="288">
        <f>IF(ISNUMBER('1f. Kons. resipient'!E25),'1f. Kons. resipient'!E25,0)</f>
        <v>0</v>
      </c>
      <c r="S25" s="288">
        <f>0.000000001*'1a. Spredningsmodell input'!$C$36*R25*1000</f>
        <v>0</v>
      </c>
      <c r="T25" s="288">
        <f>1/'1a. Spredningsmodell input'!$C$35</f>
        <v>1</v>
      </c>
      <c r="U25" s="288">
        <f>1/'1a. Spredningsmodell input'!$C$35</f>
        <v>1</v>
      </c>
      <c r="V25" s="300" t="e">
        <f>(1/($N25+Stoff!$L25))*(LN(($D25*$I25/($D25*$I25+$J25))*($F25+Stoff!$L25+$N25+Stoff!$M25)/($N25+Stoff!$M25)))</f>
        <v>#VALUE!</v>
      </c>
      <c r="W25" s="290" t="e">
        <f>($D25-Stoff!$P25*$D25)*EXP(-($F25+Stoff!$L25*365)*V25)</f>
        <v>#VALUE!</v>
      </c>
      <c r="X25" s="291" t="e">
        <f>(Stoff!$P25*$D25)*EXP(-'1a. Spredningsmodell input'!$B$43*V25)</f>
        <v>#VALUE!</v>
      </c>
      <c r="Y25" s="290" t="e">
        <f>($D25-Stoff!$P25*$D25-W25)*($F25/($F25+Stoff!$L25*365))</f>
        <v>#VALUE!</v>
      </c>
      <c r="Z25" s="290" t="e">
        <f>(Stoff!$P25*$D25)-X25</f>
        <v>#VALUE!</v>
      </c>
      <c r="AA25" s="290" t="e">
        <f>($O25+Y25)*EXP(-($N25+Stoff!$M25*365)*V25)</f>
        <v>#VALUE!</v>
      </c>
      <c r="AB25" s="290" t="e">
        <f>(Stoff!$P25*$O25+Z25)*EXP(-('1a. Spredningsmodell input'!$B$46)*V25)</f>
        <v>#VALUE!</v>
      </c>
      <c r="AC25" s="292" t="e">
        <f>((AA25+AB25)*1000000000)/('1a. Spredningsmodell input'!$B$45*1000)</f>
        <v>#VALUE!</v>
      </c>
      <c r="AD25" s="294" t="e">
        <f>0.001*AC25/('1a. Spredningsmodell input'!$C$25+'1a. Spredningsmodell input'!$C$26/Mellomregninger!$K25)</f>
        <v>#VALUE!</v>
      </c>
      <c r="AE25" s="294" t="e">
        <f>1000*AD25/$K25+AB25*1000000000/('1a. Spredningsmodell input'!$B$45*1000)</f>
        <v>#VALUE!</v>
      </c>
      <c r="AF25" s="294" t="e">
        <f t="shared" si="0"/>
        <v>#VALUE!</v>
      </c>
      <c r="AG25" s="294" t="e">
        <f>AB25*1000000000/('1a. Spredningsmodell input'!$B$45*1000)</f>
        <v>#VALUE!</v>
      </c>
      <c r="AH25" s="300" t="e">
        <f>(1/('1a. Spredningsmodell input'!$B$46))*(LN(($D25*Stoff!$P25/($D25*Stoff!$P25+$P25*Stoff!$P25))*('1a. Spredningsmodell input'!$B$43+'1a. Spredningsmodell input'!$B$46)/('1a. Spredningsmodell input'!$B$46)))</f>
        <v>#VALUE!</v>
      </c>
      <c r="AI25" s="290" t="e">
        <f>($D25-Stoff!$P25*$D25)*EXP(-($F25+Stoff!$L25*365)*AH25)</f>
        <v>#VALUE!</v>
      </c>
      <c r="AJ25" s="291" t="e">
        <f>(Stoff!$P25*$D25)*EXP(-'1a. Spredningsmodell input'!$B$43*AH25)</f>
        <v>#VALUE!</v>
      </c>
      <c r="AK25" s="290" t="e">
        <f>($D25-Stoff!$P25*$D25-AI25)*($F25/($F25+Stoff!$L25*365))</f>
        <v>#VALUE!</v>
      </c>
      <c r="AL25" s="290" t="e">
        <f>(Stoff!$P25*$D25)-AJ25</f>
        <v>#VALUE!</v>
      </c>
      <c r="AM25" s="290" t="e">
        <f>($O25+AK25)*EXP(-($N25+Stoff!$M25*365)*AH25)</f>
        <v>#VALUE!</v>
      </c>
      <c r="AN25" s="290" t="e">
        <f>(Stoff!$P25*$O25+AL25)*EXP(-('1a. Spredningsmodell input'!$B$46)*AH25)</f>
        <v>#VALUE!</v>
      </c>
      <c r="AO25" s="292" t="e">
        <f>((AM25+AN25)*1000000000)/('1a. Spredningsmodell input'!$B$45*1000)</f>
        <v>#VALUE!</v>
      </c>
      <c r="AP25" s="294" t="e">
        <f>0.001*AO25/('1a. Spredningsmodell input'!$C$25+'1a. Spredningsmodell input'!$C$26/Mellomregninger!$K25)</f>
        <v>#VALUE!</v>
      </c>
      <c r="AQ25" s="294" t="e">
        <f>1000*AP25/$K25+AN25*1000000000/('1a. Spredningsmodell input'!$B$45*1000)</f>
        <v>#VALUE!</v>
      </c>
      <c r="AR25" s="294" t="e">
        <f t="shared" si="1"/>
        <v>#VALUE!</v>
      </c>
      <c r="AS25" s="294" t="e">
        <f>AN25*1000000000/('1a. Spredningsmodell input'!$B$45*1000)</f>
        <v>#VALUE!</v>
      </c>
      <c r="AT25" s="295">
        <f t="shared" si="14"/>
        <v>5</v>
      </c>
      <c r="AU25" s="290" t="e">
        <f>($D25-Stoff!$P25*$D25)*EXP(-($F25+Stoff!$L25*365)*AT25)</f>
        <v>#VALUE!</v>
      </c>
      <c r="AV25" s="291" t="e">
        <f>(Stoff!$P25*$D25)*EXP(-'1a. Spredningsmodell input'!$B$43*AT25)</f>
        <v>#VALUE!</v>
      </c>
      <c r="AW25" s="290" t="e">
        <f>($D25-Stoff!$P25*$D25-AU25)*($F25/($F25+Stoff!$L25*365))</f>
        <v>#VALUE!</v>
      </c>
      <c r="AX25" s="290" t="e">
        <f>(Stoff!$P25*$D25)-AV25</f>
        <v>#VALUE!</v>
      </c>
      <c r="AY25" s="290" t="e">
        <f>($O25+AW25)*EXP(-($N25+Stoff!$M25*365)*AT25)</f>
        <v>#VALUE!</v>
      </c>
      <c r="AZ25" s="290" t="e">
        <f>(Stoff!$P25*$O25+AX25)*EXP(-('1a. Spredningsmodell input'!$B$46)*AT25)</f>
        <v>#VALUE!</v>
      </c>
      <c r="BA25" s="292" t="e">
        <f>((AY25+AZ25)*1000000000)/('1a. Spredningsmodell input'!$B$45*1000)</f>
        <v>#VALUE!</v>
      </c>
      <c r="BB25" s="294" t="e">
        <f>0.001*BA25/('1a. Spredningsmodell input'!$C$25+'1a. Spredningsmodell input'!$C$26/Mellomregninger!$K25)</f>
        <v>#VALUE!</v>
      </c>
      <c r="BC25" s="294" t="e">
        <f>1000*BB25/$K25+AZ25*1000000000/('1a. Spredningsmodell input'!$B$45*1000)</f>
        <v>#VALUE!</v>
      </c>
      <c r="BD25" s="294" t="e">
        <f t="shared" si="2"/>
        <v>#VALUE!</v>
      </c>
      <c r="BE25" s="294" t="e">
        <f>AZ25*1000000000/('1a. Spredningsmodell input'!$B$45*1000)</f>
        <v>#VALUE!</v>
      </c>
      <c r="BF25" s="295">
        <f t="shared" si="15"/>
        <v>20</v>
      </c>
      <c r="BG25" s="290" t="e">
        <f>($D25-Stoff!$P25*$D25)*EXP(-($F25+Stoff!$L25*365)*BF25)</f>
        <v>#VALUE!</v>
      </c>
      <c r="BH25" s="291" t="e">
        <f>(Stoff!$P25*$D25)*EXP(-'1a. Spredningsmodell input'!$B$43*BF25)</f>
        <v>#VALUE!</v>
      </c>
      <c r="BI25" s="290" t="e">
        <f>($D25-Stoff!$P25*$D25-BG25)*($F25/($F25+Stoff!$L25*365))</f>
        <v>#VALUE!</v>
      </c>
      <c r="BJ25" s="290" t="e">
        <f>(Stoff!$P25*$D25)-BH25</f>
        <v>#VALUE!</v>
      </c>
      <c r="BK25" s="290" t="e">
        <f>($O25+BI25)*EXP(-($N25+Stoff!$M25*365)*BF25)</f>
        <v>#VALUE!</v>
      </c>
      <c r="BL25" s="290" t="e">
        <f>(Stoff!$P25*$O25+BJ25)*EXP(-('1a. Spredningsmodell input'!$B$46)*BF25)</f>
        <v>#VALUE!</v>
      </c>
      <c r="BM25" s="292" t="e">
        <f>((BK25+BL25)*1000000000)/('1a. Spredningsmodell input'!$B$45*1000)</f>
        <v>#VALUE!</v>
      </c>
      <c r="BN25" s="294" t="e">
        <f>0.001*BM25/('1a. Spredningsmodell input'!$C$25+'1a. Spredningsmodell input'!$C$26/Mellomregninger!$K25)</f>
        <v>#VALUE!</v>
      </c>
      <c r="BO25" s="294" t="e">
        <f>1000*BN25/$K25+BL25*1000000000/('1a. Spredningsmodell input'!$B$45*1000)</f>
        <v>#VALUE!</v>
      </c>
      <c r="BP25" s="294" t="e">
        <f t="shared" si="3"/>
        <v>#VALUE!</v>
      </c>
      <c r="BQ25" s="294" t="e">
        <f>BL25*1000000000/('1a. Spredningsmodell input'!$B$45*1000)</f>
        <v>#VALUE!</v>
      </c>
      <c r="BR25" s="295">
        <f t="shared" si="16"/>
        <v>100</v>
      </c>
      <c r="BS25" s="290" t="e">
        <f>($D25-Stoff!$P25*$D25)*EXP(-($F25+Stoff!$L25*365)*BR25)</f>
        <v>#VALUE!</v>
      </c>
      <c r="BT25" s="291" t="e">
        <f>(Stoff!$P25*$D25)*EXP(-'1a. Spredningsmodell input'!$B$43*BR25)</f>
        <v>#VALUE!</v>
      </c>
      <c r="BU25" s="290" t="e">
        <f>($D25-Stoff!$P25*$D25-BS25)*($F25/($F25+Stoff!$L25*365))</f>
        <v>#VALUE!</v>
      </c>
      <c r="BV25" s="290" t="e">
        <f>(Stoff!$P25*$D25)-BT25</f>
        <v>#VALUE!</v>
      </c>
      <c r="BW25" s="290" t="e">
        <f>($O25+BU25)*EXP(-($N25+Stoff!$M25*365)*BR25)</f>
        <v>#VALUE!</v>
      </c>
      <c r="BX25" s="290" t="e">
        <f>(Stoff!$P25*$O25+BV25)*EXP(-('1a. Spredningsmodell input'!$B$46)*BR25)</f>
        <v>#VALUE!</v>
      </c>
      <c r="BY25" s="292" t="e">
        <f>((BW25+BX25)*1000000000)/('1a. Spredningsmodell input'!$B$45*1000)</f>
        <v>#VALUE!</v>
      </c>
      <c r="BZ25" s="294" t="e">
        <f>0.001*BY25/('1a. Spredningsmodell input'!$C$25+'1a. Spredningsmodell input'!$C$26/Mellomregninger!$K25)</f>
        <v>#VALUE!</v>
      </c>
      <c r="CA25" s="294" t="e">
        <f>1000*BZ25/$K25+BX25*1000000000/('1a. Spredningsmodell input'!$B$45*1000)</f>
        <v>#VALUE!</v>
      </c>
      <c r="CB25" s="294" t="e">
        <f t="shared" si="4"/>
        <v>#VALUE!</v>
      </c>
      <c r="CC25" s="294" t="e">
        <f>BX25*1000000000/('1a. Spredningsmodell input'!$B$45*1000)</f>
        <v>#VALUE!</v>
      </c>
      <c r="CD25" s="294" t="e">
        <f>V25+'1a. Spredningsmodell input'!$C$35</f>
        <v>#VALUE!</v>
      </c>
      <c r="CE25" s="294" t="e">
        <f>($S25+$Q25*($O25+$I25*($D25*(1-Stoff!$P25))*(1-EXP(-($F25+Stoff!$L25*365)*CD25)))*(1-EXP(-($N25+Stoff!$M25*365)*CD25)))</f>
        <v>#VALUE!</v>
      </c>
      <c r="CF25" s="294" t="e">
        <f t="shared" si="5"/>
        <v>#VALUE!</v>
      </c>
      <c r="CG25" s="296" t="e">
        <f>(CF25/1000000)*'1a. Spredningsmodell input'!$B$49*'1a. Spredningsmodell input'!$C$35</f>
        <v>#VALUE!</v>
      </c>
      <c r="CH25" s="294" t="e">
        <f t="shared" si="17"/>
        <v>#VALUE!</v>
      </c>
      <c r="CI25" s="290" t="e">
        <f>(CH25/1000000)*'1a. Spredningsmodell input'!$B$49*'1a. Spredningsmodell input'!$C$35</f>
        <v>#VALUE!</v>
      </c>
      <c r="CJ25" s="297" t="e">
        <f>($S25)*EXP(-(Stoff!$N25*365+$U25)*CD25)+CG25</f>
        <v>#VALUE!</v>
      </c>
      <c r="CK25" s="297" t="e">
        <f>(Stoff!$P25*$S25+CI25)*EXP(-$T25*CD25)</f>
        <v>#VALUE!</v>
      </c>
      <c r="CL25" s="297" t="e">
        <f>(CJ25+CK25)*1000000000/('1a. Spredningsmodell input'!$C$36*1000)</f>
        <v>#VALUE!</v>
      </c>
      <c r="CM25" s="297" t="e">
        <f>$G25*(1-EXP(-'1a. Spredningsmodell input'!$B$43*Mellomregninger!CD25))*(1-EXP(-'1a. Spredningsmodell input'!$B$46*Mellomregninger!CD25))</f>
        <v>#VALUE!</v>
      </c>
      <c r="CN25" s="297"/>
      <c r="CO25" s="297"/>
      <c r="CP25" s="290">
        <f>IF(ISNUMBER(AH25),AH25+'1a. Spredningsmodell input'!$C$35,'1a. Spredningsmodell input'!$C$35)</f>
        <v>1</v>
      </c>
      <c r="CQ25" s="294" t="e">
        <f>($S25+$Q25*($O25+$I25*($D25*(1-Stoff!$P25))*(1-EXP(-($F25+Stoff!$L25*365)*CP25)))*(1-EXP(-($N25+Stoff!$M25*365)*CP25)))</f>
        <v>#VALUE!</v>
      </c>
      <c r="CR25" s="294" t="e">
        <f t="shared" si="6"/>
        <v>#VALUE!</v>
      </c>
      <c r="CS25" s="296" t="e">
        <f>(CR25/1000000)*('1a. Spredningsmodell input'!$B$49*'1a. Spredningsmodell input'!$C$35)</f>
        <v>#VALUE!</v>
      </c>
      <c r="CT25" s="294" t="e">
        <f t="shared" si="7"/>
        <v>#VALUE!</v>
      </c>
      <c r="CU25" s="290" t="e">
        <f>(CT25/1000000)*('1a. Spredningsmodell input'!$B$49)*'1a. Spredningsmodell input'!$C$35</f>
        <v>#VALUE!</v>
      </c>
      <c r="CV25" s="297" t="e">
        <f>($S25)*EXP(-(Stoff!$N25*365+$U25)*CP25)+CS25</f>
        <v>#VALUE!</v>
      </c>
      <c r="CW25" s="297" t="e">
        <f>(Stoff!$P25*$S25+CU25)*EXP(-$T25*CP25)</f>
        <v>#VALUE!</v>
      </c>
      <c r="CX25" s="297">
        <f>IF(ISERROR(CV25),0,(CV25+CW25)*1000000000/('1a. Spredningsmodell input'!$C$36*1000))</f>
        <v>0</v>
      </c>
      <c r="CY25" s="297" t="e">
        <f>$G25*(1-EXP(-'1a. Spredningsmodell input'!$B$43*Mellomregninger!CP25))*(1-EXP(-'1a. Spredningsmodell input'!$B$46*Mellomregninger!CP25))</f>
        <v>#VALUE!</v>
      </c>
      <c r="CZ25" s="297"/>
      <c r="DA25" s="297"/>
      <c r="DB25" s="262">
        <f t="shared" si="18"/>
        <v>5</v>
      </c>
      <c r="DC25" s="298" t="e">
        <f>($S25+$Q25*($O25+$I25*($D25*(1-Stoff!$P25))*(1-EXP(-($F25+Stoff!$L25*365)*DB25)))*(1-EXP(-($N25+Stoff!$M25*365)*DB25)))</f>
        <v>#VALUE!</v>
      </c>
      <c r="DD25" s="294" t="e">
        <f t="shared" si="8"/>
        <v>#VALUE!</v>
      </c>
      <c r="DE25" s="296" t="e">
        <f>(DD25/1000000)*('1a. Spredningsmodell input'!$B$49)*'1a. Spredningsmodell input'!$C$35</f>
        <v>#VALUE!</v>
      </c>
      <c r="DF25" s="294" t="e">
        <f t="shared" si="19"/>
        <v>#VALUE!</v>
      </c>
      <c r="DG25" s="290" t="e">
        <f>(DF25/1000000)*('1a. Spredningsmodell input'!$B$49)*'1a. Spredningsmodell input'!$C$35</f>
        <v>#VALUE!</v>
      </c>
      <c r="DH25" s="297" t="e">
        <f>($S25)*EXP(-(Stoff!$N25*365+$U25)*DB25)+DE25</f>
        <v>#VALUE!</v>
      </c>
      <c r="DI25" s="297" t="e">
        <f>(Stoff!$P25*$S25+DG25)*EXP(-$T25*DB25)</f>
        <v>#VALUE!</v>
      </c>
      <c r="DJ25" s="297" t="e">
        <f>(DH25+DI25)*1000000000/('1a. Spredningsmodell input'!$C$36*1000)</f>
        <v>#VALUE!</v>
      </c>
      <c r="DK25" s="297" t="e">
        <f>$G25*(1-EXP(-'1a. Spredningsmodell input'!$B$43*Mellomregninger!DB25))*(1-EXP(-'1a. Spredningsmodell input'!$B$46*Mellomregninger!DB25))</f>
        <v>#VALUE!</v>
      </c>
      <c r="DL25" s="297"/>
      <c r="DM25" s="297"/>
      <c r="DN25" s="262">
        <f t="shared" si="20"/>
        <v>20</v>
      </c>
      <c r="DO25" s="298" t="e">
        <f>($S25+$Q25*($O25+$I25*($D25*(1-Stoff!$P25))*(1-EXP(-($F25+Stoff!$L25*365)*DN25)))*(1-EXP(-($N25+Stoff!$M25*365)*DN25)))</f>
        <v>#VALUE!</v>
      </c>
      <c r="DP25" s="294" t="e">
        <f t="shared" si="21"/>
        <v>#VALUE!</v>
      </c>
      <c r="DQ25" s="296" t="e">
        <f>(DP25/1000000)*('1a. Spredningsmodell input'!$B$49)*'1a. Spredningsmodell input'!$C$35</f>
        <v>#VALUE!</v>
      </c>
      <c r="DR25" s="294" t="e">
        <f t="shared" si="9"/>
        <v>#VALUE!</v>
      </c>
      <c r="DS25" s="290" t="e">
        <f>(DR25/1000000)*('1a. Spredningsmodell input'!$B$49)*'1a. Spredningsmodell input'!$C$35</f>
        <v>#VALUE!</v>
      </c>
      <c r="DT25" s="297" t="e">
        <f>($S25)*EXP(-(Stoff!$N25*365+$U25)*DN25)+DQ25</f>
        <v>#VALUE!</v>
      </c>
      <c r="DU25" s="297" t="e">
        <f>(Stoff!$P25*$S25+DS25)*EXP(-$T25*DN25)</f>
        <v>#VALUE!</v>
      </c>
      <c r="DV25" s="297" t="e">
        <f>(DT25+DU25)*1000000000/('1a. Spredningsmodell input'!$C$36*1000)</f>
        <v>#VALUE!</v>
      </c>
      <c r="DW25" s="297" t="e">
        <f>$G25*(1-EXP(-'1a. Spredningsmodell input'!$B$43*Mellomregninger!DN25))*(1-EXP(-'1a. Spredningsmodell input'!$B$46*Mellomregninger!DN25))</f>
        <v>#VALUE!</v>
      </c>
      <c r="DX25" s="297"/>
      <c r="DY25" s="297"/>
      <c r="DZ25" s="262">
        <f t="shared" si="22"/>
        <v>100</v>
      </c>
      <c r="EA25" s="298" t="e">
        <f>($S25+$Q25*($O25+$I25*($D25*(1-Stoff!$P25))*(1-EXP(-($F25+Stoff!$L25*365)*DZ25)))*(1-EXP(-($N25+Stoff!$M25*365)*DZ25)))</f>
        <v>#VALUE!</v>
      </c>
      <c r="EB25" s="294" t="e">
        <f t="shared" si="10"/>
        <v>#VALUE!</v>
      </c>
      <c r="EC25" s="296" t="e">
        <f>(EB25/1000000)*('1a. Spredningsmodell input'!$B$49)*'1a. Spredningsmodell input'!$C$35</f>
        <v>#VALUE!</v>
      </c>
      <c r="ED25" s="294" t="e">
        <f t="shared" si="11"/>
        <v>#VALUE!</v>
      </c>
      <c r="EE25" s="290" t="e">
        <f>(ED25/1000000)*('1a. Spredningsmodell input'!$B$49)*'1a. Spredningsmodell input'!$C$35</f>
        <v>#VALUE!</v>
      </c>
      <c r="EF25" s="297" t="e">
        <f>($S25)*EXP(-(Stoff!$N25*365+$U25)*DZ25)+EC25</f>
        <v>#VALUE!</v>
      </c>
      <c r="EG25" s="297" t="e">
        <f>(Stoff!$P25*$S25+EE25)*EXP(-$T25*DZ25)</f>
        <v>#VALUE!</v>
      </c>
      <c r="EH25" s="297" t="e">
        <f>(EF25+EG25)*1000000000/('1a. Spredningsmodell input'!$C$36*1000)</f>
        <v>#VALUE!</v>
      </c>
      <c r="EI25" s="297" t="e">
        <f>$G25*(1-EXP(-'1a. Spredningsmodell input'!$B$43*Mellomregninger!DZ25))*(1-EXP(-'1a. Spredningsmodell input'!$B$46*Mellomregninger!DZ25))</f>
        <v>#VALUE!</v>
      </c>
      <c r="EJ25" s="297"/>
      <c r="EK25" s="297"/>
      <c r="EL25" s="262">
        <f t="shared" si="23"/>
        <v>1.0000000000000001E+25</v>
      </c>
      <c r="EM25" s="294" t="e">
        <f>($S25+$Q25*($O25+$I25*($D25*(1-Stoff!$P25))*(1-EXP(-($F25+Stoff!$L25*365)*EL25)))*(1-EXP(-($N25+Stoff!$M25*365)*EL25)))</f>
        <v>#VALUE!</v>
      </c>
      <c r="EN25" s="296" t="e">
        <f>($S25+$Q25*($O25+$I25*($D25*(1-Stoff!$P25))*(1-EXP(-($F25+Stoff!$L25*365)*(EL25-'1a. Spredningsmodell input'!$C$35))))*(1-EXP(-($N25+Stoff!$M25*365)*(EL25-'1a. Spredningsmodell input'!$C$35))))</f>
        <v>#VALUE!</v>
      </c>
      <c r="EO25" s="294" t="e">
        <f>IF(EL25&lt;'1a. Spredningsmodell input'!$C$35,EM25-($S25)*EXP(-(Stoff!$N25*365+$U25)*EL25),EM25-EN25)</f>
        <v>#VALUE!</v>
      </c>
      <c r="EP25" s="290" t="e">
        <f>((($D25*(Stoff!$P25))*(1-EXP(-'1a. Spredningsmodell input'!$B$43*EL25)))*(1-EXP(-'1a. Spredningsmodell input'!$B$46*EL25)))</f>
        <v>#VALUE!</v>
      </c>
      <c r="EQ25" s="294" t="e">
        <f>((($D25*(Stoff!$P25))*(1-EXP(-'1a. Spredningsmodell input'!$B$43*(EL25-'1a. Spredningsmodell input'!$C$35))))*(1-EXP(-'1a. Spredningsmodell input'!$B$46*(EL25-'1a. Spredningsmodell input'!$C$35))))</f>
        <v>#VALUE!</v>
      </c>
      <c r="ER25" s="290" t="e">
        <f>IF(EL25&lt;'1a. Spredningsmodell input'!$C$35,0,EP25-EQ25)</f>
        <v>#VALUE!</v>
      </c>
      <c r="ES25" s="297" t="e">
        <f>($S25)*EXP(-(Stoff!$N25*365+$U25)*EL25)+EO25</f>
        <v>#VALUE!</v>
      </c>
      <c r="ET25" s="297" t="e">
        <f>(Stoff!$P25*$S25+ER25)*EXP(-$T25*EL25)</f>
        <v>#VALUE!</v>
      </c>
      <c r="EU25" s="297" t="e">
        <f>(ES25+ET25)*1000000000/('1a. Spredningsmodell input'!$C$36*1000)</f>
        <v>#VALUE!</v>
      </c>
      <c r="EV25" s="262" t="e">
        <f t="shared" si="12"/>
        <v>#VALUE!</v>
      </c>
      <c r="EW25" s="299" t="e">
        <f t="shared" si="13"/>
        <v>#VALUE!</v>
      </c>
      <c r="EX25" s="262" t="e">
        <f t="shared" si="24"/>
        <v>#VALUE!</v>
      </c>
    </row>
    <row r="26" spans="1:154" x14ac:dyDescent="0.35">
      <c r="A26" s="50" t="s">
        <v>184</v>
      </c>
      <c r="B26" s="34" t="str">
        <f>IF(ISNUMBER('1c. Kons. porevann'!E26),1000*'1c. Kons. porevann'!E26,IF(ISNUMBER('1b. Kons. umettet jord'!E26),1000*'1b. Kons. umettet jord'!E26/C26,""))</f>
        <v/>
      </c>
      <c r="C26" s="244">
        <f>IF(Stoff!B26="uorganisk",Stoff!C26,Stoff!D26*'1a. Spredningsmodell input'!$C$11)</f>
        <v>1300</v>
      </c>
      <c r="D26" s="34" t="str">
        <f>IF(ISNUMBER(B26),0.000001*('1b. Kons. umettet jord'!G26*'1a. Spredningsmodell input'!$C$12+B26*0.001*'1a. Spredningsmodell input'!$C$14)*1000*'1a. Spredningsmodell input'!$B$41*'1a. Spredningsmodell input'!$C$18,"")</f>
        <v/>
      </c>
      <c r="E26" s="283">
        <f>C26*'1a. Spredningsmodell input'!$C$12/'1a. Spredningsmodell input'!$C$14+1</f>
        <v>11051</v>
      </c>
      <c r="F26" s="284">
        <f>'1a. Spredningsmodell input'!$B$43/E26</f>
        <v>1.3573432268572977E-4</v>
      </c>
      <c r="G26" s="34" t="e">
        <f>Stoff!P26*Mellomregninger!D26</f>
        <v>#VALUE!</v>
      </c>
      <c r="H26" s="283" t="e">
        <f>(D26-G26)*(F26/(F26+Stoff!L26))</f>
        <v>#VALUE!</v>
      </c>
      <c r="I26" s="283">
        <f>F26/(F26+Stoff!L26)</f>
        <v>1</v>
      </c>
      <c r="J26" s="285" t="str">
        <f>IF(B26="","",IF(ISNUMBER('1d. Kons. mettet sone'!E26),'1d. Kons. mettet sone'!E26,IF(ISNUMBER('1e. Kons. grunnvann'!E26),'1e. Kons. grunnvann'!E26*Mellomregninger!K26,0)))</f>
        <v/>
      </c>
      <c r="K26" s="286">
        <f>IF(Stoff!B26="uorganisk",Stoff!C26,Stoff!D26*'1a. Spredningsmodell input'!$C$24)</f>
        <v>130</v>
      </c>
      <c r="L26" s="27" t="e">
        <f>IF(ISNUMBER('1e. Kons. grunnvann'!E26),1000*'1e. Kons. grunnvann'!E26,1000*J26/K26)</f>
        <v>#VALUE!</v>
      </c>
      <c r="M26" s="34">
        <f>K26*'1a. Spredningsmodell input'!$C$25/'1a. Spredningsmodell input'!$C$26+1</f>
        <v>553.5</v>
      </c>
      <c r="N26" s="284">
        <f>'1a. Spredningsmodell input'!$C$26/M26</f>
        <v>7.2267389340560076E-4</v>
      </c>
      <c r="O26" s="287" t="e">
        <f>0.000000001*(J26*'1a. Spredningsmodell input'!$C$25+L26)*1000*'1a. Spredningsmodell input'!$B$45</f>
        <v>#VALUE!</v>
      </c>
      <c r="P26" s="287" t="e">
        <f>O26*Stoff!P26</f>
        <v>#VALUE!</v>
      </c>
      <c r="Q26" s="287">
        <f>N26/(N26+Stoff!M26)</f>
        <v>1</v>
      </c>
      <c r="R26" s="288">
        <f>IF(ISNUMBER('1f. Kons. resipient'!E26),'1f. Kons. resipient'!E26,0)</f>
        <v>0</v>
      </c>
      <c r="S26" s="288">
        <f>0.000000001*'1a. Spredningsmodell input'!$C$36*R26*1000</f>
        <v>0</v>
      </c>
      <c r="T26" s="288">
        <f>1/'1a. Spredningsmodell input'!$C$35</f>
        <v>1</v>
      </c>
      <c r="U26" s="288">
        <f>1/'1a. Spredningsmodell input'!$C$35</f>
        <v>1</v>
      </c>
      <c r="V26" s="300" t="e">
        <f>(1/($N26+Stoff!$L26))*(LN(($D26*$I26/($D26*$I26+$J26))*($F26+Stoff!$L26+$N26+Stoff!$M26)/($N26+Stoff!$M26)))</f>
        <v>#VALUE!</v>
      </c>
      <c r="W26" s="290" t="e">
        <f>($D26-Stoff!$P26*$D26)*EXP(-($F26+Stoff!$L26*365)*V26)</f>
        <v>#VALUE!</v>
      </c>
      <c r="X26" s="291" t="e">
        <f>(Stoff!$P26*$D26)*EXP(-'1a. Spredningsmodell input'!$B$43*V26)</f>
        <v>#VALUE!</v>
      </c>
      <c r="Y26" s="290" t="e">
        <f>($D26-Stoff!$P26*$D26-W26)*($F26/($F26+Stoff!$L26*365))</f>
        <v>#VALUE!</v>
      </c>
      <c r="Z26" s="290" t="e">
        <f>(Stoff!$P26*$D26)-X26</f>
        <v>#VALUE!</v>
      </c>
      <c r="AA26" s="290" t="e">
        <f>($O26+Y26)*EXP(-($N26+Stoff!$M26*365)*V26)</f>
        <v>#VALUE!</v>
      </c>
      <c r="AB26" s="290" t="e">
        <f>(Stoff!$P26*$O26+Z26)*EXP(-('1a. Spredningsmodell input'!$B$46)*V26)</f>
        <v>#VALUE!</v>
      </c>
      <c r="AC26" s="292" t="e">
        <f>((AA26+AB26)*1000000000)/('1a. Spredningsmodell input'!$B$45*1000)</f>
        <v>#VALUE!</v>
      </c>
      <c r="AD26" s="294" t="e">
        <f>0.001*AC26/('1a. Spredningsmodell input'!$C$25+'1a. Spredningsmodell input'!$C$26/Mellomregninger!$K26)</f>
        <v>#VALUE!</v>
      </c>
      <c r="AE26" s="294" t="e">
        <f>1000*AD26/$K26+AB26*1000000000/('1a. Spredningsmodell input'!$B$45*1000)</f>
        <v>#VALUE!</v>
      </c>
      <c r="AF26" s="294" t="e">
        <f t="shared" si="0"/>
        <v>#VALUE!</v>
      </c>
      <c r="AG26" s="294" t="e">
        <f>AB26*1000000000/('1a. Spredningsmodell input'!$B$45*1000)</f>
        <v>#VALUE!</v>
      </c>
      <c r="AH26" s="300" t="e">
        <f>(1/('1a. Spredningsmodell input'!$B$46))*(LN(($D26*Stoff!$P26/($D26*Stoff!$P26+$P26*Stoff!$P26))*('1a. Spredningsmodell input'!$B$43+'1a. Spredningsmodell input'!$B$46)/('1a. Spredningsmodell input'!$B$46)))</f>
        <v>#VALUE!</v>
      </c>
      <c r="AI26" s="290" t="e">
        <f>($D26-Stoff!$P26*$D26)*EXP(-($F26+Stoff!$L26*365)*AH26)</f>
        <v>#VALUE!</v>
      </c>
      <c r="AJ26" s="291" t="e">
        <f>(Stoff!$P26*$D26)*EXP(-'1a. Spredningsmodell input'!$B$43*AH26)</f>
        <v>#VALUE!</v>
      </c>
      <c r="AK26" s="290" t="e">
        <f>($D26-Stoff!$P26*$D26-AI26)*($F26/($F26+Stoff!$L26*365))</f>
        <v>#VALUE!</v>
      </c>
      <c r="AL26" s="290" t="e">
        <f>(Stoff!$P26*$D26)-AJ26</f>
        <v>#VALUE!</v>
      </c>
      <c r="AM26" s="290" t="e">
        <f>($O26+AK26)*EXP(-($N26+Stoff!$M26*365)*AH26)</f>
        <v>#VALUE!</v>
      </c>
      <c r="AN26" s="290" t="e">
        <f>(Stoff!$P26*$O26+AL26)*EXP(-('1a. Spredningsmodell input'!$B$46)*AH26)</f>
        <v>#VALUE!</v>
      </c>
      <c r="AO26" s="292" t="e">
        <f>((AM26+AN26)*1000000000)/('1a. Spredningsmodell input'!$B$45*1000)</f>
        <v>#VALUE!</v>
      </c>
      <c r="AP26" s="294" t="e">
        <f>0.001*AO26/('1a. Spredningsmodell input'!$C$25+'1a. Spredningsmodell input'!$C$26/Mellomregninger!$K26)</f>
        <v>#VALUE!</v>
      </c>
      <c r="AQ26" s="294" t="e">
        <f>1000*AP26/$K26+AN26*1000000000/('1a. Spredningsmodell input'!$B$45*1000)</f>
        <v>#VALUE!</v>
      </c>
      <c r="AR26" s="294" t="e">
        <f t="shared" si="1"/>
        <v>#VALUE!</v>
      </c>
      <c r="AS26" s="294" t="e">
        <f>AN26*1000000000/('1a. Spredningsmodell input'!$B$45*1000)</f>
        <v>#VALUE!</v>
      </c>
      <c r="AT26" s="295">
        <f t="shared" si="14"/>
        <v>5</v>
      </c>
      <c r="AU26" s="290" t="e">
        <f>($D26-Stoff!$P26*$D26)*EXP(-($F26+Stoff!$L26*365)*AT26)</f>
        <v>#VALUE!</v>
      </c>
      <c r="AV26" s="291" t="e">
        <f>(Stoff!$P26*$D26)*EXP(-'1a. Spredningsmodell input'!$B$43*AT26)</f>
        <v>#VALUE!</v>
      </c>
      <c r="AW26" s="290" t="e">
        <f>($D26-Stoff!$P26*$D26-AU26)*($F26/($F26+Stoff!$L26*365))</f>
        <v>#VALUE!</v>
      </c>
      <c r="AX26" s="290" t="e">
        <f>(Stoff!$P26*$D26)-AV26</f>
        <v>#VALUE!</v>
      </c>
      <c r="AY26" s="290" t="e">
        <f>($O26+AW26)*EXP(-($N26+Stoff!$M26*365)*AT26)</f>
        <v>#VALUE!</v>
      </c>
      <c r="AZ26" s="290" t="e">
        <f>(Stoff!$P26*$O26+AX26)*EXP(-('1a. Spredningsmodell input'!$B$46)*AT26)</f>
        <v>#VALUE!</v>
      </c>
      <c r="BA26" s="292" t="e">
        <f>((AY26+AZ26)*1000000000)/('1a. Spredningsmodell input'!$B$45*1000)</f>
        <v>#VALUE!</v>
      </c>
      <c r="BB26" s="294" t="e">
        <f>0.001*BA26/('1a. Spredningsmodell input'!$C$25+'1a. Spredningsmodell input'!$C$26/Mellomregninger!$K26)</f>
        <v>#VALUE!</v>
      </c>
      <c r="BC26" s="294" t="e">
        <f>1000*BB26/$K26+AZ26*1000000000/('1a. Spredningsmodell input'!$B$45*1000)</f>
        <v>#VALUE!</v>
      </c>
      <c r="BD26" s="294" t="e">
        <f t="shared" si="2"/>
        <v>#VALUE!</v>
      </c>
      <c r="BE26" s="294" t="e">
        <f>AZ26*1000000000/('1a. Spredningsmodell input'!$B$45*1000)</f>
        <v>#VALUE!</v>
      </c>
      <c r="BF26" s="295">
        <f t="shared" si="15"/>
        <v>20</v>
      </c>
      <c r="BG26" s="290" t="e">
        <f>($D26-Stoff!$P26*$D26)*EXP(-($F26+Stoff!$L26*365)*BF26)</f>
        <v>#VALUE!</v>
      </c>
      <c r="BH26" s="291" t="e">
        <f>(Stoff!$P26*$D26)*EXP(-'1a. Spredningsmodell input'!$B$43*BF26)</f>
        <v>#VALUE!</v>
      </c>
      <c r="BI26" s="290" t="e">
        <f>($D26-Stoff!$P26*$D26-BG26)*($F26/($F26+Stoff!$L26*365))</f>
        <v>#VALUE!</v>
      </c>
      <c r="BJ26" s="290" t="e">
        <f>(Stoff!$P26*$D26)-BH26</f>
        <v>#VALUE!</v>
      </c>
      <c r="BK26" s="290" t="e">
        <f>($O26+BI26)*EXP(-($N26+Stoff!$M26*365)*BF26)</f>
        <v>#VALUE!</v>
      </c>
      <c r="BL26" s="290" t="e">
        <f>(Stoff!$P26*$O26+BJ26)*EXP(-('1a. Spredningsmodell input'!$B$46)*BF26)</f>
        <v>#VALUE!</v>
      </c>
      <c r="BM26" s="292" t="e">
        <f>((BK26+BL26)*1000000000)/('1a. Spredningsmodell input'!$B$45*1000)</f>
        <v>#VALUE!</v>
      </c>
      <c r="BN26" s="294" t="e">
        <f>0.001*BM26/('1a. Spredningsmodell input'!$C$25+'1a. Spredningsmodell input'!$C$26/Mellomregninger!$K26)</f>
        <v>#VALUE!</v>
      </c>
      <c r="BO26" s="294" t="e">
        <f>1000*BN26/$K26+BL26*1000000000/('1a. Spredningsmodell input'!$B$45*1000)</f>
        <v>#VALUE!</v>
      </c>
      <c r="BP26" s="294" t="e">
        <f t="shared" si="3"/>
        <v>#VALUE!</v>
      </c>
      <c r="BQ26" s="294" t="e">
        <f>BL26*1000000000/('1a. Spredningsmodell input'!$B$45*1000)</f>
        <v>#VALUE!</v>
      </c>
      <c r="BR26" s="295">
        <f t="shared" si="16"/>
        <v>100</v>
      </c>
      <c r="BS26" s="290" t="e">
        <f>($D26-Stoff!$P26*$D26)*EXP(-($F26+Stoff!$L26*365)*BR26)</f>
        <v>#VALUE!</v>
      </c>
      <c r="BT26" s="291" t="e">
        <f>(Stoff!$P26*$D26)*EXP(-'1a. Spredningsmodell input'!$B$43*BR26)</f>
        <v>#VALUE!</v>
      </c>
      <c r="BU26" s="290" t="e">
        <f>($D26-Stoff!$P26*$D26-BS26)*($F26/($F26+Stoff!$L26*365))</f>
        <v>#VALUE!</v>
      </c>
      <c r="BV26" s="290" t="e">
        <f>(Stoff!$P26*$D26)-BT26</f>
        <v>#VALUE!</v>
      </c>
      <c r="BW26" s="290" t="e">
        <f>($O26+BU26)*EXP(-($N26+Stoff!$M26*365)*BR26)</f>
        <v>#VALUE!</v>
      </c>
      <c r="BX26" s="290" t="e">
        <f>(Stoff!$P26*$O26+BV26)*EXP(-('1a. Spredningsmodell input'!$B$46)*BR26)</f>
        <v>#VALUE!</v>
      </c>
      <c r="BY26" s="292" t="e">
        <f>((BW26+BX26)*1000000000)/('1a. Spredningsmodell input'!$B$45*1000)</f>
        <v>#VALUE!</v>
      </c>
      <c r="BZ26" s="294" t="e">
        <f>0.001*BY26/('1a. Spredningsmodell input'!$C$25+'1a. Spredningsmodell input'!$C$26/Mellomregninger!$K26)</f>
        <v>#VALUE!</v>
      </c>
      <c r="CA26" s="294" t="e">
        <f>1000*BZ26/$K26+BX26*1000000000/('1a. Spredningsmodell input'!$B$45*1000)</f>
        <v>#VALUE!</v>
      </c>
      <c r="CB26" s="294" t="e">
        <f t="shared" si="4"/>
        <v>#VALUE!</v>
      </c>
      <c r="CC26" s="294" t="e">
        <f>BX26*1000000000/('1a. Spredningsmodell input'!$B$45*1000)</f>
        <v>#VALUE!</v>
      </c>
      <c r="CD26" s="294" t="e">
        <f>V26+'1a. Spredningsmodell input'!$C$35</f>
        <v>#VALUE!</v>
      </c>
      <c r="CE26" s="294" t="e">
        <f>($S26+$Q26*($O26+$I26*($D26*(1-Stoff!$P26))*(1-EXP(-($F26+Stoff!$L26*365)*CD26)))*(1-EXP(-($N26+Stoff!$M26*365)*CD26)))</f>
        <v>#VALUE!</v>
      </c>
      <c r="CF26" s="294" t="e">
        <f t="shared" si="5"/>
        <v>#VALUE!</v>
      </c>
      <c r="CG26" s="296" t="e">
        <f>(CF26/1000000)*'1a. Spredningsmodell input'!$B$49*'1a. Spredningsmodell input'!$C$35</f>
        <v>#VALUE!</v>
      </c>
      <c r="CH26" s="294" t="e">
        <f t="shared" si="17"/>
        <v>#VALUE!</v>
      </c>
      <c r="CI26" s="290" t="e">
        <f>(CH26/1000000)*'1a. Spredningsmodell input'!$B$49*'1a. Spredningsmodell input'!$C$35</f>
        <v>#VALUE!</v>
      </c>
      <c r="CJ26" s="297" t="e">
        <f>($S26)*EXP(-(Stoff!$N26*365+$U26)*CD26)+CG26</f>
        <v>#VALUE!</v>
      </c>
      <c r="CK26" s="297" t="e">
        <f>(Stoff!$P26*$S26+CI26)*EXP(-$T26*CD26)</f>
        <v>#VALUE!</v>
      </c>
      <c r="CL26" s="297" t="e">
        <f>(CJ26+CK26)*1000000000/('1a. Spredningsmodell input'!$C$36*1000)</f>
        <v>#VALUE!</v>
      </c>
      <c r="CM26" s="297" t="e">
        <f>$G26*(1-EXP(-'1a. Spredningsmodell input'!$B$43*Mellomregninger!CD26))*(1-EXP(-'1a. Spredningsmodell input'!$B$46*Mellomregninger!CD26))</f>
        <v>#VALUE!</v>
      </c>
      <c r="CN26" s="297"/>
      <c r="CO26" s="297"/>
      <c r="CP26" s="290">
        <f>IF(ISNUMBER(AH26),AH26+'1a. Spredningsmodell input'!$C$35,'1a. Spredningsmodell input'!$C$35)</f>
        <v>1</v>
      </c>
      <c r="CQ26" s="294" t="e">
        <f>($S26+$Q26*($O26+$I26*($D26*(1-Stoff!$P26))*(1-EXP(-($F26+Stoff!$L26*365)*CP26)))*(1-EXP(-($N26+Stoff!$M26*365)*CP26)))</f>
        <v>#VALUE!</v>
      </c>
      <c r="CR26" s="294" t="e">
        <f t="shared" si="6"/>
        <v>#VALUE!</v>
      </c>
      <c r="CS26" s="296" t="e">
        <f>(CR26/1000000)*('1a. Spredningsmodell input'!$B$49*'1a. Spredningsmodell input'!$C$35)</f>
        <v>#VALUE!</v>
      </c>
      <c r="CT26" s="294" t="e">
        <f t="shared" si="7"/>
        <v>#VALUE!</v>
      </c>
      <c r="CU26" s="290" t="e">
        <f>(CT26/1000000)*('1a. Spredningsmodell input'!$B$49)*'1a. Spredningsmodell input'!$C$35</f>
        <v>#VALUE!</v>
      </c>
      <c r="CV26" s="297" t="e">
        <f>($S26)*EXP(-(Stoff!$N26*365+$U26)*CP26)+CS26</f>
        <v>#VALUE!</v>
      </c>
      <c r="CW26" s="297" t="e">
        <f>(Stoff!$P26*$S26+CU26)*EXP(-$T26*CP26)</f>
        <v>#VALUE!</v>
      </c>
      <c r="CX26" s="297">
        <f>IF(ISERROR(CV26),0,(CV26+CW26)*1000000000/('1a. Spredningsmodell input'!$C$36*1000))</f>
        <v>0</v>
      </c>
      <c r="CY26" s="297" t="e">
        <f>$G26*(1-EXP(-'1a. Spredningsmodell input'!$B$43*Mellomregninger!CP26))*(1-EXP(-'1a. Spredningsmodell input'!$B$46*Mellomregninger!CP26))</f>
        <v>#VALUE!</v>
      </c>
      <c r="CZ26" s="297"/>
      <c r="DA26" s="297"/>
      <c r="DB26" s="262">
        <f t="shared" si="18"/>
        <v>5</v>
      </c>
      <c r="DC26" s="298" t="e">
        <f>($S26+$Q26*($O26+$I26*($D26*(1-Stoff!$P26))*(1-EXP(-($F26+Stoff!$L26*365)*DB26)))*(1-EXP(-($N26+Stoff!$M26*365)*DB26)))</f>
        <v>#VALUE!</v>
      </c>
      <c r="DD26" s="294" t="e">
        <f t="shared" si="8"/>
        <v>#VALUE!</v>
      </c>
      <c r="DE26" s="296" t="e">
        <f>(DD26/1000000)*('1a. Spredningsmodell input'!$B$49)*'1a. Spredningsmodell input'!$C$35</f>
        <v>#VALUE!</v>
      </c>
      <c r="DF26" s="294" t="e">
        <f t="shared" si="19"/>
        <v>#VALUE!</v>
      </c>
      <c r="DG26" s="290" t="e">
        <f>(DF26/1000000)*('1a. Spredningsmodell input'!$B$49)*'1a. Spredningsmodell input'!$C$35</f>
        <v>#VALUE!</v>
      </c>
      <c r="DH26" s="297" t="e">
        <f>($S26)*EXP(-(Stoff!$N26*365+$U26)*DB26)+DE26</f>
        <v>#VALUE!</v>
      </c>
      <c r="DI26" s="297" t="e">
        <f>(Stoff!$P26*$S26+DG26)*EXP(-$T26*DB26)</f>
        <v>#VALUE!</v>
      </c>
      <c r="DJ26" s="297" t="e">
        <f>(DH26+DI26)*1000000000/('1a. Spredningsmodell input'!$C$36*1000)</f>
        <v>#VALUE!</v>
      </c>
      <c r="DK26" s="297" t="e">
        <f>$G26*(1-EXP(-'1a. Spredningsmodell input'!$B$43*Mellomregninger!DB26))*(1-EXP(-'1a. Spredningsmodell input'!$B$46*Mellomregninger!DB26))</f>
        <v>#VALUE!</v>
      </c>
      <c r="DL26" s="297"/>
      <c r="DM26" s="297"/>
      <c r="DN26" s="262">
        <f t="shared" si="20"/>
        <v>20</v>
      </c>
      <c r="DO26" s="298" t="e">
        <f>($S26+$Q26*($O26+$I26*($D26*(1-Stoff!$P26))*(1-EXP(-($F26+Stoff!$L26*365)*DN26)))*(1-EXP(-($N26+Stoff!$M26*365)*DN26)))</f>
        <v>#VALUE!</v>
      </c>
      <c r="DP26" s="294" t="e">
        <f t="shared" si="21"/>
        <v>#VALUE!</v>
      </c>
      <c r="DQ26" s="296" t="e">
        <f>(DP26/1000000)*('1a. Spredningsmodell input'!$B$49)*'1a. Spredningsmodell input'!$C$35</f>
        <v>#VALUE!</v>
      </c>
      <c r="DR26" s="294" t="e">
        <f t="shared" si="9"/>
        <v>#VALUE!</v>
      </c>
      <c r="DS26" s="290" t="e">
        <f>(DR26/1000000)*('1a. Spredningsmodell input'!$B$49)*'1a. Spredningsmodell input'!$C$35</f>
        <v>#VALUE!</v>
      </c>
      <c r="DT26" s="297" t="e">
        <f>($S26)*EXP(-(Stoff!$N26*365+$U26)*DN26)+DQ26</f>
        <v>#VALUE!</v>
      </c>
      <c r="DU26" s="297" t="e">
        <f>(Stoff!$P26*$S26+DS26)*EXP(-$T26*DN26)</f>
        <v>#VALUE!</v>
      </c>
      <c r="DV26" s="297" t="e">
        <f>(DT26+DU26)*1000000000/('1a. Spredningsmodell input'!$C$36*1000)</f>
        <v>#VALUE!</v>
      </c>
      <c r="DW26" s="297" t="e">
        <f>$G26*(1-EXP(-'1a. Spredningsmodell input'!$B$43*Mellomregninger!DN26))*(1-EXP(-'1a. Spredningsmodell input'!$B$46*Mellomregninger!DN26))</f>
        <v>#VALUE!</v>
      </c>
      <c r="DX26" s="297"/>
      <c r="DY26" s="297"/>
      <c r="DZ26" s="262">
        <f t="shared" si="22"/>
        <v>100</v>
      </c>
      <c r="EA26" s="298" t="e">
        <f>($S26+$Q26*($O26+$I26*($D26*(1-Stoff!$P26))*(1-EXP(-($F26+Stoff!$L26*365)*DZ26)))*(1-EXP(-($N26+Stoff!$M26*365)*DZ26)))</f>
        <v>#VALUE!</v>
      </c>
      <c r="EB26" s="294" t="e">
        <f t="shared" si="10"/>
        <v>#VALUE!</v>
      </c>
      <c r="EC26" s="296" t="e">
        <f>(EB26/1000000)*('1a. Spredningsmodell input'!$B$49)*'1a. Spredningsmodell input'!$C$35</f>
        <v>#VALUE!</v>
      </c>
      <c r="ED26" s="294" t="e">
        <f t="shared" si="11"/>
        <v>#VALUE!</v>
      </c>
      <c r="EE26" s="290" t="e">
        <f>(ED26/1000000)*('1a. Spredningsmodell input'!$B$49)*'1a. Spredningsmodell input'!$C$35</f>
        <v>#VALUE!</v>
      </c>
      <c r="EF26" s="297" t="e">
        <f>($S26)*EXP(-(Stoff!$N26*365+$U26)*DZ26)+EC26</f>
        <v>#VALUE!</v>
      </c>
      <c r="EG26" s="297" t="e">
        <f>(Stoff!$P26*$S26+EE26)*EXP(-$T26*DZ26)</f>
        <v>#VALUE!</v>
      </c>
      <c r="EH26" s="297" t="e">
        <f>(EF26+EG26)*1000000000/('1a. Spredningsmodell input'!$C$36*1000)</f>
        <v>#VALUE!</v>
      </c>
      <c r="EI26" s="297" t="e">
        <f>$G26*(1-EXP(-'1a. Spredningsmodell input'!$B$43*Mellomregninger!DZ26))*(1-EXP(-'1a. Spredningsmodell input'!$B$46*Mellomregninger!DZ26))</f>
        <v>#VALUE!</v>
      </c>
      <c r="EJ26" s="297"/>
      <c r="EK26" s="297"/>
      <c r="EL26" s="262">
        <f t="shared" si="23"/>
        <v>1.0000000000000001E+25</v>
      </c>
      <c r="EM26" s="294" t="e">
        <f>($S26+$Q26*($O26+$I26*($D26*(1-Stoff!$P26))*(1-EXP(-($F26+Stoff!$L26*365)*EL26)))*(1-EXP(-($N26+Stoff!$M26*365)*EL26)))</f>
        <v>#VALUE!</v>
      </c>
      <c r="EN26" s="296" t="e">
        <f>($S26+$Q26*($O26+$I26*($D26*(1-Stoff!$P26))*(1-EXP(-($F26+Stoff!$L26*365)*(EL26-'1a. Spredningsmodell input'!$C$35))))*(1-EXP(-($N26+Stoff!$M26*365)*(EL26-'1a. Spredningsmodell input'!$C$35))))</f>
        <v>#VALUE!</v>
      </c>
      <c r="EO26" s="294" t="e">
        <f>IF(EL26&lt;'1a. Spredningsmodell input'!$C$35,EM26-($S26)*EXP(-(Stoff!$N26*365+$U26)*EL26),EM26-EN26)</f>
        <v>#VALUE!</v>
      </c>
      <c r="EP26" s="290" t="e">
        <f>((($D26*(Stoff!$P26))*(1-EXP(-'1a. Spredningsmodell input'!$B$43*EL26)))*(1-EXP(-'1a. Spredningsmodell input'!$B$46*EL26)))</f>
        <v>#VALUE!</v>
      </c>
      <c r="EQ26" s="294" t="e">
        <f>((($D26*(Stoff!$P26))*(1-EXP(-'1a. Spredningsmodell input'!$B$43*(EL26-'1a. Spredningsmodell input'!$C$35))))*(1-EXP(-'1a. Spredningsmodell input'!$B$46*(EL26-'1a. Spredningsmodell input'!$C$35))))</f>
        <v>#VALUE!</v>
      </c>
      <c r="ER26" s="290" t="e">
        <f>IF(EL26&lt;'1a. Spredningsmodell input'!$C$35,0,EP26-EQ26)</f>
        <v>#VALUE!</v>
      </c>
      <c r="ES26" s="297" t="e">
        <f>($S26)*EXP(-(Stoff!$N26*365+$U26)*EL26)+EO26</f>
        <v>#VALUE!</v>
      </c>
      <c r="ET26" s="297" t="e">
        <f>(Stoff!$P26*$S26+ER26)*EXP(-$T26*EL26)</f>
        <v>#VALUE!</v>
      </c>
      <c r="EU26" s="297" t="e">
        <f>(ES26+ET26)*1000000000/('1a. Spredningsmodell input'!$C$36*1000)</f>
        <v>#VALUE!</v>
      </c>
      <c r="EV26" s="262" t="e">
        <f t="shared" si="12"/>
        <v>#VALUE!</v>
      </c>
      <c r="EW26" s="299" t="e">
        <f t="shared" si="13"/>
        <v>#VALUE!</v>
      </c>
      <c r="EX26" s="262" t="e">
        <f t="shared" si="24"/>
        <v>#VALUE!</v>
      </c>
    </row>
    <row r="27" spans="1:154" x14ac:dyDescent="0.35">
      <c r="A27" s="50" t="s">
        <v>183</v>
      </c>
      <c r="B27" s="34" t="str">
        <f>IF(ISNUMBER('1c. Kons. porevann'!E27),1000*'1c. Kons. porevann'!E27,IF(ISNUMBER('1b. Kons. umettet jord'!E27),1000*'1b. Kons. umettet jord'!E27/C27,""))</f>
        <v/>
      </c>
      <c r="C27" s="244">
        <f>IF(Stoff!B27="uorganisk",Stoff!C27,Stoff!D27*'1a. Spredningsmodell input'!$C$11)</f>
        <v>8.8000000000000009E-2</v>
      </c>
      <c r="D27" s="34" t="str">
        <f>IF(ISNUMBER(B27),0.000001*('1b. Kons. umettet jord'!G27*'1a. Spredningsmodell input'!$C$12+B27*0.001*'1a. Spredningsmodell input'!$C$14)*1000*'1a. Spredningsmodell input'!$B$41*'1a. Spredningsmodell input'!$C$18,"")</f>
        <v/>
      </c>
      <c r="E27" s="283">
        <f>C27*'1a. Spredningsmodell input'!$C$12/'1a. Spredningsmodell input'!$C$14+1</f>
        <v>1.748</v>
      </c>
      <c r="F27" s="284">
        <f>'1a. Spredningsmodell input'!$B$43/E27</f>
        <v>0.85812356979405024</v>
      </c>
      <c r="G27" s="34" t="e">
        <f>Stoff!P27*Mellomregninger!D27</f>
        <v>#VALUE!</v>
      </c>
      <c r="H27" s="283" t="e">
        <f>(D27-G27)*(F27/(F27+Stoff!L27))</f>
        <v>#VALUE!</v>
      </c>
      <c r="I27" s="283">
        <f>F27/(F27+Stoff!L27)</f>
        <v>1</v>
      </c>
      <c r="J27" s="285" t="str">
        <f>IF(B27="","",IF(ISNUMBER('1d. Kons. mettet sone'!E27),'1d. Kons. mettet sone'!E27,IF(ISNUMBER('1e. Kons. grunnvann'!E27),'1e. Kons. grunnvann'!E27*Mellomregninger!K27,0)))</f>
        <v/>
      </c>
      <c r="K27" s="286">
        <f>IF(Stoff!B27="uorganisk",Stoff!C27,Stoff!D27*'1a. Spredningsmodell input'!$C$24)</f>
        <v>8.8000000000000005E-3</v>
      </c>
      <c r="L27" s="27" t="e">
        <f>IF(ISNUMBER('1e. Kons. grunnvann'!E27),1000*'1e. Kons. grunnvann'!E27,1000*J27/K27)</f>
        <v>#VALUE!</v>
      </c>
      <c r="M27" s="34">
        <f>K27*'1a. Spredningsmodell input'!$C$25/'1a. Spredningsmodell input'!$C$26+1</f>
        <v>1.0374000000000001</v>
      </c>
      <c r="N27" s="284">
        <f>'1a. Spredningsmodell input'!$C$26/M27</f>
        <v>0.38557933294775398</v>
      </c>
      <c r="O27" s="287" t="e">
        <f>0.000000001*(J27*'1a. Spredningsmodell input'!$C$25+L27)*1000*'1a. Spredningsmodell input'!$B$45</f>
        <v>#VALUE!</v>
      </c>
      <c r="P27" s="287" t="e">
        <f>O27*Stoff!P27</f>
        <v>#VALUE!</v>
      </c>
      <c r="Q27" s="287">
        <f>N27/(N27+Stoff!M27)</f>
        <v>1</v>
      </c>
      <c r="R27" s="288">
        <f>IF(ISNUMBER('1f. Kons. resipient'!E27),'1f. Kons. resipient'!E27,0)</f>
        <v>0</v>
      </c>
      <c r="S27" s="288">
        <f>0.000000001*'1a. Spredningsmodell input'!$C$36*R27*1000</f>
        <v>0</v>
      </c>
      <c r="T27" s="288">
        <f>1/'1a. Spredningsmodell input'!$C$35</f>
        <v>1</v>
      </c>
      <c r="U27" s="288">
        <f>1/'1a. Spredningsmodell input'!$C$35</f>
        <v>1</v>
      </c>
      <c r="V27" s="300" t="e">
        <f>(1/($N27+Stoff!$L27))*(LN(($D27*$I27/($D27*$I27+$J27))*($F27+Stoff!$L27+$N27+Stoff!$M27)/($N27+Stoff!$M27)))</f>
        <v>#VALUE!</v>
      </c>
      <c r="W27" s="290" t="e">
        <f>($D27-Stoff!$P27*$D27)*EXP(-($F27+Stoff!$L27*365)*V27)</f>
        <v>#VALUE!</v>
      </c>
      <c r="X27" s="291" t="e">
        <f>(Stoff!$P27*$D27)*EXP(-'1a. Spredningsmodell input'!$B$43*V27)</f>
        <v>#VALUE!</v>
      </c>
      <c r="Y27" s="290" t="e">
        <f>($D27-Stoff!$P27*$D27-W27)*($F27/($F27+Stoff!$L27*365))</f>
        <v>#VALUE!</v>
      </c>
      <c r="Z27" s="290" t="e">
        <f>(Stoff!$P27*$D27)-X27</f>
        <v>#VALUE!</v>
      </c>
      <c r="AA27" s="290" t="e">
        <f>($O27+Y27)*EXP(-($N27+Stoff!$M27*365)*V27)</f>
        <v>#VALUE!</v>
      </c>
      <c r="AB27" s="290" t="e">
        <f>(Stoff!$P27*$O27+Z27)*EXP(-('1a. Spredningsmodell input'!$B$46)*V27)</f>
        <v>#VALUE!</v>
      </c>
      <c r="AC27" s="292" t="e">
        <f>((AA27+AB27)*1000000000)/('1a. Spredningsmodell input'!$B$45*1000)</f>
        <v>#VALUE!</v>
      </c>
      <c r="AD27" s="294" t="e">
        <f>0.001*AC27/('1a. Spredningsmodell input'!$C$25+'1a. Spredningsmodell input'!$C$26/Mellomregninger!$K27)</f>
        <v>#VALUE!</v>
      </c>
      <c r="AE27" s="294" t="e">
        <f>1000*AD27/$K27+AB27*1000000000/('1a. Spredningsmodell input'!$B$45*1000)</f>
        <v>#VALUE!</v>
      </c>
      <c r="AF27" s="294" t="e">
        <f t="shared" si="0"/>
        <v>#VALUE!</v>
      </c>
      <c r="AG27" s="294" t="e">
        <f>AB27*1000000000/('1a. Spredningsmodell input'!$B$45*1000)</f>
        <v>#VALUE!</v>
      </c>
      <c r="AH27" s="300" t="e">
        <f>(1/('1a. Spredningsmodell input'!$B$46))*(LN(($D27*Stoff!$P27/($D27*Stoff!$P27+$P27*Stoff!$P27))*('1a. Spredningsmodell input'!$B$43+'1a. Spredningsmodell input'!$B$46)/('1a. Spredningsmodell input'!$B$46)))</f>
        <v>#VALUE!</v>
      </c>
      <c r="AI27" s="290" t="e">
        <f>($D27-Stoff!$P27*$D27)*EXP(-($F27+Stoff!$L27*365)*AH27)</f>
        <v>#VALUE!</v>
      </c>
      <c r="AJ27" s="291" t="e">
        <f>(Stoff!$P27*$D27)*EXP(-'1a. Spredningsmodell input'!$B$43*AH27)</f>
        <v>#VALUE!</v>
      </c>
      <c r="AK27" s="290" t="e">
        <f>($D27-Stoff!$P27*$D27-AI27)*($F27/($F27+Stoff!$L27*365))</f>
        <v>#VALUE!</v>
      </c>
      <c r="AL27" s="290" t="e">
        <f>(Stoff!$P27*$D27)-AJ27</f>
        <v>#VALUE!</v>
      </c>
      <c r="AM27" s="290" t="e">
        <f>($O27+AK27)*EXP(-($N27+Stoff!$M27*365)*AH27)</f>
        <v>#VALUE!</v>
      </c>
      <c r="AN27" s="290" t="e">
        <f>(Stoff!$P27*$O27+AL27)*EXP(-('1a. Spredningsmodell input'!$B$46)*AH27)</f>
        <v>#VALUE!</v>
      </c>
      <c r="AO27" s="292" t="e">
        <f>((AM27+AN27)*1000000000)/('1a. Spredningsmodell input'!$B$45*1000)</f>
        <v>#VALUE!</v>
      </c>
      <c r="AP27" s="294" t="e">
        <f>0.001*AO27/('1a. Spredningsmodell input'!$C$25+'1a. Spredningsmodell input'!$C$26/Mellomregninger!$K27)</f>
        <v>#VALUE!</v>
      </c>
      <c r="AQ27" s="294" t="e">
        <f>1000*AP27/$K27+AN27*1000000000/('1a. Spredningsmodell input'!$B$45*1000)</f>
        <v>#VALUE!</v>
      </c>
      <c r="AR27" s="294" t="e">
        <f t="shared" si="1"/>
        <v>#VALUE!</v>
      </c>
      <c r="AS27" s="294" t="e">
        <f>AN27*1000000000/('1a. Spredningsmodell input'!$B$45*1000)</f>
        <v>#VALUE!</v>
      </c>
      <c r="AT27" s="295">
        <f t="shared" si="14"/>
        <v>5</v>
      </c>
      <c r="AU27" s="290" t="e">
        <f>($D27-Stoff!$P27*$D27)*EXP(-($F27+Stoff!$L27*365)*AT27)</f>
        <v>#VALUE!</v>
      </c>
      <c r="AV27" s="291" t="e">
        <f>(Stoff!$P27*$D27)*EXP(-'1a. Spredningsmodell input'!$B$43*AT27)</f>
        <v>#VALUE!</v>
      </c>
      <c r="AW27" s="290" t="e">
        <f>($D27-Stoff!$P27*$D27-AU27)*($F27/($F27+Stoff!$L27*365))</f>
        <v>#VALUE!</v>
      </c>
      <c r="AX27" s="290" t="e">
        <f>(Stoff!$P27*$D27)-AV27</f>
        <v>#VALUE!</v>
      </c>
      <c r="AY27" s="290" t="e">
        <f>($O27+AW27)*EXP(-($N27+Stoff!$M27*365)*AT27)</f>
        <v>#VALUE!</v>
      </c>
      <c r="AZ27" s="290" t="e">
        <f>(Stoff!$P27*$O27+AX27)*EXP(-('1a. Spredningsmodell input'!$B$46)*AT27)</f>
        <v>#VALUE!</v>
      </c>
      <c r="BA27" s="292" t="e">
        <f>((AY27+AZ27)*1000000000)/('1a. Spredningsmodell input'!$B$45*1000)</f>
        <v>#VALUE!</v>
      </c>
      <c r="BB27" s="294" t="e">
        <f>0.001*BA27/('1a. Spredningsmodell input'!$C$25+'1a. Spredningsmodell input'!$C$26/Mellomregninger!$K27)</f>
        <v>#VALUE!</v>
      </c>
      <c r="BC27" s="294" t="e">
        <f>1000*BB27/$K27+AZ27*1000000000/('1a. Spredningsmodell input'!$B$45*1000)</f>
        <v>#VALUE!</v>
      </c>
      <c r="BD27" s="294" t="e">
        <f t="shared" si="2"/>
        <v>#VALUE!</v>
      </c>
      <c r="BE27" s="294" t="e">
        <f>AZ27*1000000000/('1a. Spredningsmodell input'!$B$45*1000)</f>
        <v>#VALUE!</v>
      </c>
      <c r="BF27" s="295">
        <f t="shared" si="15"/>
        <v>20</v>
      </c>
      <c r="BG27" s="290" t="e">
        <f>($D27-Stoff!$P27*$D27)*EXP(-($F27+Stoff!$L27*365)*BF27)</f>
        <v>#VALUE!</v>
      </c>
      <c r="BH27" s="291" t="e">
        <f>(Stoff!$P27*$D27)*EXP(-'1a. Spredningsmodell input'!$B$43*BF27)</f>
        <v>#VALUE!</v>
      </c>
      <c r="BI27" s="290" t="e">
        <f>($D27-Stoff!$P27*$D27-BG27)*($F27/($F27+Stoff!$L27*365))</f>
        <v>#VALUE!</v>
      </c>
      <c r="BJ27" s="290" t="e">
        <f>(Stoff!$P27*$D27)-BH27</f>
        <v>#VALUE!</v>
      </c>
      <c r="BK27" s="290" t="e">
        <f>($O27+BI27)*EXP(-($N27+Stoff!$M27*365)*BF27)</f>
        <v>#VALUE!</v>
      </c>
      <c r="BL27" s="290" t="e">
        <f>(Stoff!$P27*$O27+BJ27)*EXP(-('1a. Spredningsmodell input'!$B$46)*BF27)</f>
        <v>#VALUE!</v>
      </c>
      <c r="BM27" s="292" t="e">
        <f>((BK27+BL27)*1000000000)/('1a. Spredningsmodell input'!$B$45*1000)</f>
        <v>#VALUE!</v>
      </c>
      <c r="BN27" s="294" t="e">
        <f>0.001*BM27/('1a. Spredningsmodell input'!$C$25+'1a. Spredningsmodell input'!$C$26/Mellomregninger!$K27)</f>
        <v>#VALUE!</v>
      </c>
      <c r="BO27" s="294" t="e">
        <f>1000*BN27/$K27+BL27*1000000000/('1a. Spredningsmodell input'!$B$45*1000)</f>
        <v>#VALUE!</v>
      </c>
      <c r="BP27" s="294" t="e">
        <f t="shared" si="3"/>
        <v>#VALUE!</v>
      </c>
      <c r="BQ27" s="294" t="e">
        <f>BL27*1000000000/('1a. Spredningsmodell input'!$B$45*1000)</f>
        <v>#VALUE!</v>
      </c>
      <c r="BR27" s="295">
        <f t="shared" si="16"/>
        <v>100</v>
      </c>
      <c r="BS27" s="290" t="e">
        <f>($D27-Stoff!$P27*$D27)*EXP(-($F27+Stoff!$L27*365)*BR27)</f>
        <v>#VALUE!</v>
      </c>
      <c r="BT27" s="291" t="e">
        <f>(Stoff!$P27*$D27)*EXP(-'1a. Spredningsmodell input'!$B$43*BR27)</f>
        <v>#VALUE!</v>
      </c>
      <c r="BU27" s="290" t="e">
        <f>($D27-Stoff!$P27*$D27-BS27)*($F27/($F27+Stoff!$L27*365))</f>
        <v>#VALUE!</v>
      </c>
      <c r="BV27" s="290" t="e">
        <f>(Stoff!$P27*$D27)-BT27</f>
        <v>#VALUE!</v>
      </c>
      <c r="BW27" s="290" t="e">
        <f>($O27+BU27)*EXP(-($N27+Stoff!$M27*365)*BR27)</f>
        <v>#VALUE!</v>
      </c>
      <c r="BX27" s="290" t="e">
        <f>(Stoff!$P27*$O27+BV27)*EXP(-('1a. Spredningsmodell input'!$B$46)*BR27)</f>
        <v>#VALUE!</v>
      </c>
      <c r="BY27" s="292" t="e">
        <f>((BW27+BX27)*1000000000)/('1a. Spredningsmodell input'!$B$45*1000)</f>
        <v>#VALUE!</v>
      </c>
      <c r="BZ27" s="294" t="e">
        <f>0.001*BY27/('1a. Spredningsmodell input'!$C$25+'1a. Spredningsmodell input'!$C$26/Mellomregninger!$K27)</f>
        <v>#VALUE!</v>
      </c>
      <c r="CA27" s="294" t="e">
        <f>1000*BZ27/$K27+BX27*1000000000/('1a. Spredningsmodell input'!$B$45*1000)</f>
        <v>#VALUE!</v>
      </c>
      <c r="CB27" s="294" t="e">
        <f t="shared" si="4"/>
        <v>#VALUE!</v>
      </c>
      <c r="CC27" s="294" t="e">
        <f>BX27*1000000000/('1a. Spredningsmodell input'!$B$45*1000)</f>
        <v>#VALUE!</v>
      </c>
      <c r="CD27" s="294" t="e">
        <f>V27+'1a. Spredningsmodell input'!$C$35</f>
        <v>#VALUE!</v>
      </c>
      <c r="CE27" s="294" t="e">
        <f>($S27+$Q27*($O27+$I27*($D27*(1-Stoff!$P27))*(1-EXP(-($F27+Stoff!$L27*365)*CD27)))*(1-EXP(-($N27+Stoff!$M27*365)*CD27)))</f>
        <v>#VALUE!</v>
      </c>
      <c r="CF27" s="294" t="e">
        <f t="shared" si="5"/>
        <v>#VALUE!</v>
      </c>
      <c r="CG27" s="296" t="e">
        <f>(CF27/1000000)*'1a. Spredningsmodell input'!$B$49*'1a. Spredningsmodell input'!$C$35</f>
        <v>#VALUE!</v>
      </c>
      <c r="CH27" s="294" t="e">
        <f t="shared" si="17"/>
        <v>#VALUE!</v>
      </c>
      <c r="CI27" s="290" t="e">
        <f>(CH27/1000000)*'1a. Spredningsmodell input'!$B$49*'1a. Spredningsmodell input'!$C$35</f>
        <v>#VALUE!</v>
      </c>
      <c r="CJ27" s="297" t="e">
        <f>($S27)*EXP(-(Stoff!$N27*365+$U27)*CD27)+CG27</f>
        <v>#VALUE!</v>
      </c>
      <c r="CK27" s="297" t="e">
        <f>(Stoff!$P27*$S27+CI27)*EXP(-$T27*CD27)</f>
        <v>#VALUE!</v>
      </c>
      <c r="CL27" s="297" t="e">
        <f>(CJ27+CK27)*1000000000/('1a. Spredningsmodell input'!$C$36*1000)</f>
        <v>#VALUE!</v>
      </c>
      <c r="CM27" s="297" t="e">
        <f>$G27*(1-EXP(-'1a. Spredningsmodell input'!$B$43*Mellomregninger!CD27))*(1-EXP(-'1a. Spredningsmodell input'!$B$46*Mellomregninger!CD27))</f>
        <v>#VALUE!</v>
      </c>
      <c r="CN27" s="297"/>
      <c r="CO27" s="297"/>
      <c r="CP27" s="290">
        <f>IF(ISNUMBER(AH27),AH27+'1a. Spredningsmodell input'!$C$35,'1a. Spredningsmodell input'!$C$35)</f>
        <v>1</v>
      </c>
      <c r="CQ27" s="294" t="e">
        <f>($S27+$Q27*($O27+$I27*($D27*(1-Stoff!$P27))*(1-EXP(-($F27+Stoff!$L27*365)*CP27)))*(1-EXP(-($N27+Stoff!$M27*365)*CP27)))</f>
        <v>#VALUE!</v>
      </c>
      <c r="CR27" s="294" t="e">
        <f t="shared" si="6"/>
        <v>#VALUE!</v>
      </c>
      <c r="CS27" s="296" t="e">
        <f>(CR27/1000000)*('1a. Spredningsmodell input'!$B$49*'1a. Spredningsmodell input'!$C$35)</f>
        <v>#VALUE!</v>
      </c>
      <c r="CT27" s="294" t="e">
        <f t="shared" si="7"/>
        <v>#VALUE!</v>
      </c>
      <c r="CU27" s="290" t="e">
        <f>(CT27/1000000)*('1a. Spredningsmodell input'!$B$49)*'1a. Spredningsmodell input'!$C$35</f>
        <v>#VALUE!</v>
      </c>
      <c r="CV27" s="297" t="e">
        <f>($S27)*EXP(-(Stoff!$N27*365+$U27)*CP27)+CS27</f>
        <v>#VALUE!</v>
      </c>
      <c r="CW27" s="297" t="e">
        <f>(Stoff!$P27*$S27+CU27)*EXP(-$T27*CP27)</f>
        <v>#VALUE!</v>
      </c>
      <c r="CX27" s="297">
        <f>IF(ISERROR(CV27),0,(CV27+CW27)*1000000000/('1a. Spredningsmodell input'!$C$36*1000))</f>
        <v>0</v>
      </c>
      <c r="CY27" s="297" t="e">
        <f>$G27*(1-EXP(-'1a. Spredningsmodell input'!$B$43*Mellomregninger!CP27))*(1-EXP(-'1a. Spredningsmodell input'!$B$46*Mellomregninger!CP27))</f>
        <v>#VALUE!</v>
      </c>
      <c r="CZ27" s="297"/>
      <c r="DA27" s="297"/>
      <c r="DB27" s="262">
        <f t="shared" si="18"/>
        <v>5</v>
      </c>
      <c r="DC27" s="298" t="e">
        <f>($S27+$Q27*($O27+$I27*($D27*(1-Stoff!$P27))*(1-EXP(-($F27+Stoff!$L27*365)*DB27)))*(1-EXP(-($N27+Stoff!$M27*365)*DB27)))</f>
        <v>#VALUE!</v>
      </c>
      <c r="DD27" s="294" t="e">
        <f t="shared" si="8"/>
        <v>#VALUE!</v>
      </c>
      <c r="DE27" s="296" t="e">
        <f>(DD27/1000000)*('1a. Spredningsmodell input'!$B$49)*'1a. Spredningsmodell input'!$C$35</f>
        <v>#VALUE!</v>
      </c>
      <c r="DF27" s="294" t="e">
        <f t="shared" si="19"/>
        <v>#VALUE!</v>
      </c>
      <c r="DG27" s="290" t="e">
        <f>(DF27/1000000)*('1a. Spredningsmodell input'!$B$49)*'1a. Spredningsmodell input'!$C$35</f>
        <v>#VALUE!</v>
      </c>
      <c r="DH27" s="297" t="e">
        <f>($S27)*EXP(-(Stoff!$N27*365+$U27)*DB27)+DE27</f>
        <v>#VALUE!</v>
      </c>
      <c r="DI27" s="297" t="e">
        <f>(Stoff!$P27*$S27+DG27)*EXP(-$T27*DB27)</f>
        <v>#VALUE!</v>
      </c>
      <c r="DJ27" s="297" t="e">
        <f>(DH27+DI27)*1000000000/('1a. Spredningsmodell input'!$C$36*1000)</f>
        <v>#VALUE!</v>
      </c>
      <c r="DK27" s="297" t="e">
        <f>$G27*(1-EXP(-'1a. Spredningsmodell input'!$B$43*Mellomregninger!DB27))*(1-EXP(-'1a. Spredningsmodell input'!$B$46*Mellomregninger!DB27))</f>
        <v>#VALUE!</v>
      </c>
      <c r="DL27" s="297"/>
      <c r="DM27" s="297"/>
      <c r="DN27" s="262">
        <f t="shared" si="20"/>
        <v>20</v>
      </c>
      <c r="DO27" s="298" t="e">
        <f>($S27+$Q27*($O27+$I27*($D27*(1-Stoff!$P27))*(1-EXP(-($F27+Stoff!$L27*365)*DN27)))*(1-EXP(-($N27+Stoff!$M27*365)*DN27)))</f>
        <v>#VALUE!</v>
      </c>
      <c r="DP27" s="294" t="e">
        <f t="shared" si="21"/>
        <v>#VALUE!</v>
      </c>
      <c r="DQ27" s="296" t="e">
        <f>(DP27/1000000)*('1a. Spredningsmodell input'!$B$49)*'1a. Spredningsmodell input'!$C$35</f>
        <v>#VALUE!</v>
      </c>
      <c r="DR27" s="294" t="e">
        <f t="shared" si="9"/>
        <v>#VALUE!</v>
      </c>
      <c r="DS27" s="290" t="e">
        <f>(DR27/1000000)*('1a. Spredningsmodell input'!$B$49)*'1a. Spredningsmodell input'!$C$35</f>
        <v>#VALUE!</v>
      </c>
      <c r="DT27" s="297" t="e">
        <f>($S27)*EXP(-(Stoff!$N27*365+$U27)*DN27)+DQ27</f>
        <v>#VALUE!</v>
      </c>
      <c r="DU27" s="297" t="e">
        <f>(Stoff!$P27*$S27+DS27)*EXP(-$T27*DN27)</f>
        <v>#VALUE!</v>
      </c>
      <c r="DV27" s="297" t="e">
        <f>(DT27+DU27)*1000000000/('1a. Spredningsmodell input'!$C$36*1000)</f>
        <v>#VALUE!</v>
      </c>
      <c r="DW27" s="297" t="e">
        <f>$G27*(1-EXP(-'1a. Spredningsmodell input'!$B$43*Mellomregninger!DN27))*(1-EXP(-'1a. Spredningsmodell input'!$B$46*Mellomregninger!DN27))</f>
        <v>#VALUE!</v>
      </c>
      <c r="DX27" s="297"/>
      <c r="DY27" s="297"/>
      <c r="DZ27" s="262">
        <f t="shared" si="22"/>
        <v>100</v>
      </c>
      <c r="EA27" s="298" t="e">
        <f>($S27+$Q27*($O27+$I27*($D27*(1-Stoff!$P27))*(1-EXP(-($F27+Stoff!$L27*365)*DZ27)))*(1-EXP(-($N27+Stoff!$M27*365)*DZ27)))</f>
        <v>#VALUE!</v>
      </c>
      <c r="EB27" s="294" t="e">
        <f t="shared" si="10"/>
        <v>#VALUE!</v>
      </c>
      <c r="EC27" s="296" t="e">
        <f>(EB27/1000000)*('1a. Spredningsmodell input'!$B$49)*'1a. Spredningsmodell input'!$C$35</f>
        <v>#VALUE!</v>
      </c>
      <c r="ED27" s="294" t="e">
        <f t="shared" si="11"/>
        <v>#VALUE!</v>
      </c>
      <c r="EE27" s="290" t="e">
        <f>(ED27/1000000)*('1a. Spredningsmodell input'!$B$49)*'1a. Spredningsmodell input'!$C$35</f>
        <v>#VALUE!</v>
      </c>
      <c r="EF27" s="297" t="e">
        <f>($S27)*EXP(-(Stoff!$N27*365+$U27)*DZ27)+EC27</f>
        <v>#VALUE!</v>
      </c>
      <c r="EG27" s="297" t="e">
        <f>(Stoff!$P27*$S27+EE27)*EXP(-$T27*DZ27)</f>
        <v>#VALUE!</v>
      </c>
      <c r="EH27" s="297" t="e">
        <f>(EF27+EG27)*1000000000/('1a. Spredningsmodell input'!$C$36*1000)</f>
        <v>#VALUE!</v>
      </c>
      <c r="EI27" s="297" t="e">
        <f>$G27*(1-EXP(-'1a. Spredningsmodell input'!$B$43*Mellomregninger!DZ27))*(1-EXP(-'1a. Spredningsmodell input'!$B$46*Mellomregninger!DZ27))</f>
        <v>#VALUE!</v>
      </c>
      <c r="EJ27" s="297"/>
      <c r="EK27" s="297"/>
      <c r="EL27" s="262">
        <f t="shared" si="23"/>
        <v>1.0000000000000001E+25</v>
      </c>
      <c r="EM27" s="294" t="e">
        <f>($S27+$Q27*($O27+$I27*($D27*(1-Stoff!$P27))*(1-EXP(-($F27+Stoff!$L27*365)*EL27)))*(1-EXP(-($N27+Stoff!$M27*365)*EL27)))</f>
        <v>#VALUE!</v>
      </c>
      <c r="EN27" s="296" t="e">
        <f>($S27+$Q27*($O27+$I27*($D27*(1-Stoff!$P27))*(1-EXP(-($F27+Stoff!$L27*365)*(EL27-'1a. Spredningsmodell input'!$C$35))))*(1-EXP(-($N27+Stoff!$M27*365)*(EL27-'1a. Spredningsmodell input'!$C$35))))</f>
        <v>#VALUE!</v>
      </c>
      <c r="EO27" s="294" t="e">
        <f>IF(EL27&lt;'1a. Spredningsmodell input'!$C$35,EM27-($S27)*EXP(-(Stoff!$N27*365+$U27)*EL27),EM27-EN27)</f>
        <v>#VALUE!</v>
      </c>
      <c r="EP27" s="290" t="e">
        <f>((($D27*(Stoff!$P27))*(1-EXP(-'1a. Spredningsmodell input'!$B$43*EL27)))*(1-EXP(-'1a. Spredningsmodell input'!$B$46*EL27)))</f>
        <v>#VALUE!</v>
      </c>
      <c r="EQ27" s="294" t="e">
        <f>((($D27*(Stoff!$P27))*(1-EXP(-'1a. Spredningsmodell input'!$B$43*(EL27-'1a. Spredningsmodell input'!$C$35))))*(1-EXP(-'1a. Spredningsmodell input'!$B$46*(EL27-'1a. Spredningsmodell input'!$C$35))))</f>
        <v>#VALUE!</v>
      </c>
      <c r="ER27" s="290" t="e">
        <f>IF(EL27&lt;'1a. Spredningsmodell input'!$C$35,0,EP27-EQ27)</f>
        <v>#VALUE!</v>
      </c>
      <c r="ES27" s="297" t="e">
        <f>($S27)*EXP(-(Stoff!$N27*365+$U27)*EL27)+EO27</f>
        <v>#VALUE!</v>
      </c>
      <c r="ET27" s="297" t="e">
        <f>(Stoff!$P27*$S27+ER27)*EXP(-$T27*EL27)</f>
        <v>#VALUE!</v>
      </c>
      <c r="EU27" s="297" t="e">
        <f>(ES27+ET27)*1000000000/('1a. Spredningsmodell input'!$C$36*1000)</f>
        <v>#VALUE!</v>
      </c>
      <c r="EV27" s="262" t="e">
        <f t="shared" si="12"/>
        <v>#VALUE!</v>
      </c>
      <c r="EW27" s="299" t="e">
        <f t="shared" si="13"/>
        <v>#VALUE!</v>
      </c>
      <c r="EX27" s="262" t="e">
        <f t="shared" si="24"/>
        <v>#VALUE!</v>
      </c>
    </row>
    <row r="28" spans="1:154" x14ac:dyDescent="0.35">
      <c r="A28" s="50" t="s">
        <v>182</v>
      </c>
      <c r="B28" s="34" t="str">
        <f>IF(ISNUMBER('1c. Kons. porevann'!E28),1000*'1c. Kons. porevann'!E28,IF(ISNUMBER('1b. Kons. umettet jord'!E28),1000*'1b. Kons. umettet jord'!E28/C28,""))</f>
        <v/>
      </c>
      <c r="C28" s="244">
        <f>IF(Stoff!B28="uorganisk",Stoff!C28,Stoff!D28*'1a. Spredningsmodell input'!$C$11)</f>
        <v>1.85</v>
      </c>
      <c r="D28" s="34" t="str">
        <f>IF(ISNUMBER(B28),0.000001*('1b. Kons. umettet jord'!G28*'1a. Spredningsmodell input'!$C$12+B28*0.001*'1a. Spredningsmodell input'!$C$14)*1000*'1a. Spredningsmodell input'!$B$41*'1a. Spredningsmodell input'!$C$18,"")</f>
        <v/>
      </c>
      <c r="E28" s="283">
        <f>C28*'1a. Spredningsmodell input'!$C$12/'1a. Spredningsmodell input'!$C$14+1</f>
        <v>16.725000000000001</v>
      </c>
      <c r="F28" s="284">
        <f>'1a. Spredningsmodell input'!$B$43/E28</f>
        <v>8.9686098654708502E-2</v>
      </c>
      <c r="G28" s="34" t="e">
        <f>Stoff!P28*Mellomregninger!D28</f>
        <v>#VALUE!</v>
      </c>
      <c r="H28" s="283" t="e">
        <f>(D28-G28)*(F28/(F28+Stoff!L28))</f>
        <v>#VALUE!</v>
      </c>
      <c r="I28" s="283">
        <f>F28/(F28+Stoff!L28)</f>
        <v>1</v>
      </c>
      <c r="J28" s="285" t="str">
        <f>IF(B28="","",IF(ISNUMBER('1d. Kons. mettet sone'!E28),'1d. Kons. mettet sone'!E28,IF(ISNUMBER('1e. Kons. grunnvann'!E28),'1e. Kons. grunnvann'!E28*Mellomregninger!K28,0)))</f>
        <v/>
      </c>
      <c r="K28" s="286">
        <f>IF(Stoff!B28="uorganisk",Stoff!C28,Stoff!D28*'1a. Spredningsmodell input'!$C$24)</f>
        <v>0.185</v>
      </c>
      <c r="L28" s="27" t="e">
        <f>IF(ISNUMBER('1e. Kons. grunnvann'!E28),1000*'1e. Kons. grunnvann'!E28,1000*J28/K28)</f>
        <v>#VALUE!</v>
      </c>
      <c r="M28" s="34">
        <f>K28*'1a. Spredningsmodell input'!$C$25/'1a. Spredningsmodell input'!$C$26+1</f>
        <v>1.7862499999999999</v>
      </c>
      <c r="N28" s="284">
        <f>'1a. Spredningsmodell input'!$C$26/M28</f>
        <v>0.22393282015395383</v>
      </c>
      <c r="O28" s="287" t="e">
        <f>0.000000001*(J28*'1a. Spredningsmodell input'!$C$25+L28)*1000*'1a. Spredningsmodell input'!$B$45</f>
        <v>#VALUE!</v>
      </c>
      <c r="P28" s="287" t="e">
        <f>O28*Stoff!P28</f>
        <v>#VALUE!</v>
      </c>
      <c r="Q28" s="287">
        <f>N28/(N28+Stoff!M28)</f>
        <v>1</v>
      </c>
      <c r="R28" s="288">
        <f>IF(ISNUMBER('1f. Kons. resipient'!E28),'1f. Kons. resipient'!E28,0)</f>
        <v>0</v>
      </c>
      <c r="S28" s="288">
        <f>0.000000001*'1a. Spredningsmodell input'!$C$36*R28*1000</f>
        <v>0</v>
      </c>
      <c r="T28" s="288">
        <f>1/'1a. Spredningsmodell input'!$C$35</f>
        <v>1</v>
      </c>
      <c r="U28" s="288">
        <f>1/'1a. Spredningsmodell input'!$C$35</f>
        <v>1</v>
      </c>
      <c r="V28" s="300" t="e">
        <f>(1/($N28+Stoff!$L28))*(LN(($D28*$I28/($D28*$I28+$J28))*($F28+Stoff!$L28+$N28+Stoff!$M28)/($N28+Stoff!$M28)))</f>
        <v>#VALUE!</v>
      </c>
      <c r="W28" s="290" t="e">
        <f>($D28-Stoff!$P28*$D28)*EXP(-($F28+Stoff!$L28*365)*V28)</f>
        <v>#VALUE!</v>
      </c>
      <c r="X28" s="291" t="e">
        <f>(Stoff!$P28*$D28)*EXP(-'1a. Spredningsmodell input'!$B$43*V28)</f>
        <v>#VALUE!</v>
      </c>
      <c r="Y28" s="290" t="e">
        <f>($D28-Stoff!$P28*$D28-W28)*($F28/($F28+Stoff!$L28*365))</f>
        <v>#VALUE!</v>
      </c>
      <c r="Z28" s="290" t="e">
        <f>(Stoff!$P28*$D28)-X28</f>
        <v>#VALUE!</v>
      </c>
      <c r="AA28" s="290" t="e">
        <f>($O28+Y28)*EXP(-($N28+Stoff!$M28*365)*V28)</f>
        <v>#VALUE!</v>
      </c>
      <c r="AB28" s="290" t="e">
        <f>(Stoff!$P28*$O28+Z28)*EXP(-('1a. Spredningsmodell input'!$B$46)*V28)</f>
        <v>#VALUE!</v>
      </c>
      <c r="AC28" s="292" t="e">
        <f>((AA28+AB28)*1000000000)/('1a. Spredningsmodell input'!$B$45*1000)</f>
        <v>#VALUE!</v>
      </c>
      <c r="AD28" s="294" t="e">
        <f>0.001*AC28/('1a. Spredningsmodell input'!$C$25+'1a. Spredningsmodell input'!$C$26/Mellomregninger!$K28)</f>
        <v>#VALUE!</v>
      </c>
      <c r="AE28" s="294" t="e">
        <f>1000*AD28/$K28+AB28*1000000000/('1a. Spredningsmodell input'!$B$45*1000)</f>
        <v>#VALUE!</v>
      </c>
      <c r="AF28" s="294" t="e">
        <f t="shared" si="0"/>
        <v>#VALUE!</v>
      </c>
      <c r="AG28" s="294" t="e">
        <f>AB28*1000000000/('1a. Spredningsmodell input'!$B$45*1000)</f>
        <v>#VALUE!</v>
      </c>
      <c r="AH28" s="300" t="e">
        <f>(1/('1a. Spredningsmodell input'!$B$46))*(LN(($D28*Stoff!$P28/($D28*Stoff!$P28+$P28*Stoff!$P28))*('1a. Spredningsmodell input'!$B$43+'1a. Spredningsmodell input'!$B$46)/('1a. Spredningsmodell input'!$B$46)))</f>
        <v>#VALUE!</v>
      </c>
      <c r="AI28" s="290" t="e">
        <f>($D28-Stoff!$P28*$D28)*EXP(-($F28+Stoff!$L28*365)*AH28)</f>
        <v>#VALUE!</v>
      </c>
      <c r="AJ28" s="291" t="e">
        <f>(Stoff!$P28*$D28)*EXP(-'1a. Spredningsmodell input'!$B$43*AH28)</f>
        <v>#VALUE!</v>
      </c>
      <c r="AK28" s="290" t="e">
        <f>($D28-Stoff!$P28*$D28-AI28)*($F28/($F28+Stoff!$L28*365))</f>
        <v>#VALUE!</v>
      </c>
      <c r="AL28" s="290" t="e">
        <f>(Stoff!$P28*$D28)-AJ28</f>
        <v>#VALUE!</v>
      </c>
      <c r="AM28" s="290" t="e">
        <f>($O28+AK28)*EXP(-($N28+Stoff!$M28*365)*AH28)</f>
        <v>#VALUE!</v>
      </c>
      <c r="AN28" s="290" t="e">
        <f>(Stoff!$P28*$O28+AL28)*EXP(-('1a. Spredningsmodell input'!$B$46)*AH28)</f>
        <v>#VALUE!</v>
      </c>
      <c r="AO28" s="292" t="e">
        <f>((AM28+AN28)*1000000000)/('1a. Spredningsmodell input'!$B$45*1000)</f>
        <v>#VALUE!</v>
      </c>
      <c r="AP28" s="294" t="e">
        <f>0.001*AO28/('1a. Spredningsmodell input'!$C$25+'1a. Spredningsmodell input'!$C$26/Mellomregninger!$K28)</f>
        <v>#VALUE!</v>
      </c>
      <c r="AQ28" s="294" t="e">
        <f>1000*AP28/$K28+AN28*1000000000/('1a. Spredningsmodell input'!$B$45*1000)</f>
        <v>#VALUE!</v>
      </c>
      <c r="AR28" s="294" t="e">
        <f t="shared" si="1"/>
        <v>#VALUE!</v>
      </c>
      <c r="AS28" s="294" t="e">
        <f>AN28*1000000000/('1a. Spredningsmodell input'!$B$45*1000)</f>
        <v>#VALUE!</v>
      </c>
      <c r="AT28" s="295">
        <f t="shared" si="14"/>
        <v>5</v>
      </c>
      <c r="AU28" s="290" t="e">
        <f>($D28-Stoff!$P28*$D28)*EXP(-($F28+Stoff!$L28*365)*AT28)</f>
        <v>#VALUE!</v>
      </c>
      <c r="AV28" s="291" t="e">
        <f>(Stoff!$P28*$D28)*EXP(-'1a. Spredningsmodell input'!$B$43*AT28)</f>
        <v>#VALUE!</v>
      </c>
      <c r="AW28" s="290" t="e">
        <f>($D28-Stoff!$P28*$D28-AU28)*($F28/($F28+Stoff!$L28*365))</f>
        <v>#VALUE!</v>
      </c>
      <c r="AX28" s="290" t="e">
        <f>(Stoff!$P28*$D28)-AV28</f>
        <v>#VALUE!</v>
      </c>
      <c r="AY28" s="290" t="e">
        <f>($O28+AW28)*EXP(-($N28+Stoff!$M28*365)*AT28)</f>
        <v>#VALUE!</v>
      </c>
      <c r="AZ28" s="290" t="e">
        <f>(Stoff!$P28*$O28+AX28)*EXP(-('1a. Spredningsmodell input'!$B$46)*AT28)</f>
        <v>#VALUE!</v>
      </c>
      <c r="BA28" s="292" t="e">
        <f>((AY28+AZ28)*1000000000)/('1a. Spredningsmodell input'!$B$45*1000)</f>
        <v>#VALUE!</v>
      </c>
      <c r="BB28" s="294" t="e">
        <f>0.001*BA28/('1a. Spredningsmodell input'!$C$25+'1a. Spredningsmodell input'!$C$26/Mellomregninger!$K28)</f>
        <v>#VALUE!</v>
      </c>
      <c r="BC28" s="294" t="e">
        <f>1000*BB28/$K28+AZ28*1000000000/('1a. Spredningsmodell input'!$B$45*1000)</f>
        <v>#VALUE!</v>
      </c>
      <c r="BD28" s="294" t="e">
        <f t="shared" si="2"/>
        <v>#VALUE!</v>
      </c>
      <c r="BE28" s="294" t="e">
        <f>AZ28*1000000000/('1a. Spredningsmodell input'!$B$45*1000)</f>
        <v>#VALUE!</v>
      </c>
      <c r="BF28" s="295">
        <f t="shared" si="15"/>
        <v>20</v>
      </c>
      <c r="BG28" s="290" t="e">
        <f>($D28-Stoff!$P28*$D28)*EXP(-($F28+Stoff!$L28*365)*BF28)</f>
        <v>#VALUE!</v>
      </c>
      <c r="BH28" s="291" t="e">
        <f>(Stoff!$P28*$D28)*EXP(-'1a. Spredningsmodell input'!$B$43*BF28)</f>
        <v>#VALUE!</v>
      </c>
      <c r="BI28" s="290" t="e">
        <f>($D28-Stoff!$P28*$D28-BG28)*($F28/($F28+Stoff!$L28*365))</f>
        <v>#VALUE!</v>
      </c>
      <c r="BJ28" s="290" t="e">
        <f>(Stoff!$P28*$D28)-BH28</f>
        <v>#VALUE!</v>
      </c>
      <c r="BK28" s="290" t="e">
        <f>($O28+BI28)*EXP(-($N28+Stoff!$M28*365)*BF28)</f>
        <v>#VALUE!</v>
      </c>
      <c r="BL28" s="290" t="e">
        <f>(Stoff!$P28*$O28+BJ28)*EXP(-('1a. Spredningsmodell input'!$B$46)*BF28)</f>
        <v>#VALUE!</v>
      </c>
      <c r="BM28" s="292" t="e">
        <f>((BK28+BL28)*1000000000)/('1a. Spredningsmodell input'!$B$45*1000)</f>
        <v>#VALUE!</v>
      </c>
      <c r="BN28" s="294" t="e">
        <f>0.001*BM28/('1a. Spredningsmodell input'!$C$25+'1a. Spredningsmodell input'!$C$26/Mellomregninger!$K28)</f>
        <v>#VALUE!</v>
      </c>
      <c r="BO28" s="294" t="e">
        <f>1000*BN28/$K28+BL28*1000000000/('1a. Spredningsmodell input'!$B$45*1000)</f>
        <v>#VALUE!</v>
      </c>
      <c r="BP28" s="294" t="e">
        <f t="shared" si="3"/>
        <v>#VALUE!</v>
      </c>
      <c r="BQ28" s="294" t="e">
        <f>BL28*1000000000/('1a. Spredningsmodell input'!$B$45*1000)</f>
        <v>#VALUE!</v>
      </c>
      <c r="BR28" s="295">
        <f t="shared" si="16"/>
        <v>100</v>
      </c>
      <c r="BS28" s="290" t="e">
        <f>($D28-Stoff!$P28*$D28)*EXP(-($F28+Stoff!$L28*365)*BR28)</f>
        <v>#VALUE!</v>
      </c>
      <c r="BT28" s="291" t="e">
        <f>(Stoff!$P28*$D28)*EXP(-'1a. Spredningsmodell input'!$B$43*BR28)</f>
        <v>#VALUE!</v>
      </c>
      <c r="BU28" s="290" t="e">
        <f>($D28-Stoff!$P28*$D28-BS28)*($F28/($F28+Stoff!$L28*365))</f>
        <v>#VALUE!</v>
      </c>
      <c r="BV28" s="290" t="e">
        <f>(Stoff!$P28*$D28)-BT28</f>
        <v>#VALUE!</v>
      </c>
      <c r="BW28" s="290" t="e">
        <f>($O28+BU28)*EXP(-($N28+Stoff!$M28*365)*BR28)</f>
        <v>#VALUE!</v>
      </c>
      <c r="BX28" s="290" t="e">
        <f>(Stoff!$P28*$O28+BV28)*EXP(-('1a. Spredningsmodell input'!$B$46)*BR28)</f>
        <v>#VALUE!</v>
      </c>
      <c r="BY28" s="292" t="e">
        <f>((BW28+BX28)*1000000000)/('1a. Spredningsmodell input'!$B$45*1000)</f>
        <v>#VALUE!</v>
      </c>
      <c r="BZ28" s="294" t="e">
        <f>0.001*BY28/('1a. Spredningsmodell input'!$C$25+'1a. Spredningsmodell input'!$C$26/Mellomregninger!$K28)</f>
        <v>#VALUE!</v>
      </c>
      <c r="CA28" s="294" t="e">
        <f>1000*BZ28/$K28+BX28*1000000000/('1a. Spredningsmodell input'!$B$45*1000)</f>
        <v>#VALUE!</v>
      </c>
      <c r="CB28" s="294" t="e">
        <f t="shared" si="4"/>
        <v>#VALUE!</v>
      </c>
      <c r="CC28" s="294" t="e">
        <f>BX28*1000000000/('1a. Spredningsmodell input'!$B$45*1000)</f>
        <v>#VALUE!</v>
      </c>
      <c r="CD28" s="294" t="e">
        <f>V28+'1a. Spredningsmodell input'!$C$35</f>
        <v>#VALUE!</v>
      </c>
      <c r="CE28" s="294" t="e">
        <f>($S28+$Q28*($O28+$I28*($D28*(1-Stoff!$P28))*(1-EXP(-($F28+Stoff!$L28*365)*CD28)))*(1-EXP(-($N28+Stoff!$M28*365)*CD28)))</f>
        <v>#VALUE!</v>
      </c>
      <c r="CF28" s="294" t="e">
        <f t="shared" si="5"/>
        <v>#VALUE!</v>
      </c>
      <c r="CG28" s="296" t="e">
        <f>(CF28/1000000)*'1a. Spredningsmodell input'!$B$49*'1a. Spredningsmodell input'!$C$35</f>
        <v>#VALUE!</v>
      </c>
      <c r="CH28" s="294" t="e">
        <f t="shared" si="17"/>
        <v>#VALUE!</v>
      </c>
      <c r="CI28" s="290" t="e">
        <f>(CH28/1000000)*'1a. Spredningsmodell input'!$B$49*'1a. Spredningsmodell input'!$C$35</f>
        <v>#VALUE!</v>
      </c>
      <c r="CJ28" s="297" t="e">
        <f>($S28)*EXP(-(Stoff!$N28*365+$U28)*CD28)+CG28</f>
        <v>#VALUE!</v>
      </c>
      <c r="CK28" s="297" t="e">
        <f>(Stoff!$P28*$S28+CI28)*EXP(-$T28*CD28)</f>
        <v>#VALUE!</v>
      </c>
      <c r="CL28" s="297" t="e">
        <f>(CJ28+CK28)*1000000000/('1a. Spredningsmodell input'!$C$36*1000)</f>
        <v>#VALUE!</v>
      </c>
      <c r="CM28" s="297" t="e">
        <f>$G28*(1-EXP(-'1a. Spredningsmodell input'!$B$43*Mellomregninger!CD28))*(1-EXP(-'1a. Spredningsmodell input'!$B$46*Mellomregninger!CD28))</f>
        <v>#VALUE!</v>
      </c>
      <c r="CN28" s="297"/>
      <c r="CO28" s="297"/>
      <c r="CP28" s="290">
        <f>IF(ISNUMBER(AH28),AH28+'1a. Spredningsmodell input'!$C$35,'1a. Spredningsmodell input'!$C$35)</f>
        <v>1</v>
      </c>
      <c r="CQ28" s="294" t="e">
        <f>($S28+$Q28*($O28+$I28*($D28*(1-Stoff!$P28))*(1-EXP(-($F28+Stoff!$L28*365)*CP28)))*(1-EXP(-($N28+Stoff!$M28*365)*CP28)))</f>
        <v>#VALUE!</v>
      </c>
      <c r="CR28" s="294" t="e">
        <f t="shared" si="6"/>
        <v>#VALUE!</v>
      </c>
      <c r="CS28" s="296" t="e">
        <f>(CR28/1000000)*('1a. Spredningsmodell input'!$B$49*'1a. Spredningsmodell input'!$C$35)</f>
        <v>#VALUE!</v>
      </c>
      <c r="CT28" s="294" t="e">
        <f t="shared" si="7"/>
        <v>#VALUE!</v>
      </c>
      <c r="CU28" s="290" t="e">
        <f>(CT28/1000000)*('1a. Spredningsmodell input'!$B$49)*'1a. Spredningsmodell input'!$C$35</f>
        <v>#VALUE!</v>
      </c>
      <c r="CV28" s="297" t="e">
        <f>($S28)*EXP(-(Stoff!$N28*365+$U28)*CP28)+CS28</f>
        <v>#VALUE!</v>
      </c>
      <c r="CW28" s="297" t="e">
        <f>(Stoff!$P28*$S28+CU28)*EXP(-$T28*CP28)</f>
        <v>#VALUE!</v>
      </c>
      <c r="CX28" s="297">
        <f>IF(ISERROR(CV28),0,(CV28+CW28)*1000000000/('1a. Spredningsmodell input'!$C$36*1000))</f>
        <v>0</v>
      </c>
      <c r="CY28" s="297" t="e">
        <f>$G28*(1-EXP(-'1a. Spredningsmodell input'!$B$43*Mellomregninger!CP28))*(1-EXP(-'1a. Spredningsmodell input'!$B$46*Mellomregninger!CP28))</f>
        <v>#VALUE!</v>
      </c>
      <c r="CZ28" s="297"/>
      <c r="DA28" s="297"/>
      <c r="DB28" s="262">
        <f t="shared" si="18"/>
        <v>5</v>
      </c>
      <c r="DC28" s="298" t="e">
        <f>($S28+$Q28*($O28+$I28*($D28*(1-Stoff!$P28))*(1-EXP(-($F28+Stoff!$L28*365)*DB28)))*(1-EXP(-($N28+Stoff!$M28*365)*DB28)))</f>
        <v>#VALUE!</v>
      </c>
      <c r="DD28" s="294" t="e">
        <f t="shared" si="8"/>
        <v>#VALUE!</v>
      </c>
      <c r="DE28" s="296" t="e">
        <f>(DD28/1000000)*('1a. Spredningsmodell input'!$B$49)*'1a. Spredningsmodell input'!$C$35</f>
        <v>#VALUE!</v>
      </c>
      <c r="DF28" s="294" t="e">
        <f t="shared" si="19"/>
        <v>#VALUE!</v>
      </c>
      <c r="DG28" s="290" t="e">
        <f>(DF28/1000000)*('1a. Spredningsmodell input'!$B$49)*'1a. Spredningsmodell input'!$C$35</f>
        <v>#VALUE!</v>
      </c>
      <c r="DH28" s="297" t="e">
        <f>($S28)*EXP(-(Stoff!$N28*365+$U28)*DB28)+DE28</f>
        <v>#VALUE!</v>
      </c>
      <c r="DI28" s="297" t="e">
        <f>(Stoff!$P28*$S28+DG28)*EXP(-$T28*DB28)</f>
        <v>#VALUE!</v>
      </c>
      <c r="DJ28" s="297" t="e">
        <f>(DH28+DI28)*1000000000/('1a. Spredningsmodell input'!$C$36*1000)</f>
        <v>#VALUE!</v>
      </c>
      <c r="DK28" s="297" t="e">
        <f>$G28*(1-EXP(-'1a. Spredningsmodell input'!$B$43*Mellomregninger!DB28))*(1-EXP(-'1a. Spredningsmodell input'!$B$46*Mellomregninger!DB28))</f>
        <v>#VALUE!</v>
      </c>
      <c r="DL28" s="297"/>
      <c r="DM28" s="297"/>
      <c r="DN28" s="262">
        <f t="shared" si="20"/>
        <v>20</v>
      </c>
      <c r="DO28" s="298" t="e">
        <f>($S28+$Q28*($O28+$I28*($D28*(1-Stoff!$P28))*(1-EXP(-($F28+Stoff!$L28*365)*DN28)))*(1-EXP(-($N28+Stoff!$M28*365)*DN28)))</f>
        <v>#VALUE!</v>
      </c>
      <c r="DP28" s="294" t="e">
        <f t="shared" si="21"/>
        <v>#VALUE!</v>
      </c>
      <c r="DQ28" s="296" t="e">
        <f>(DP28/1000000)*('1a. Spredningsmodell input'!$B$49)*'1a. Spredningsmodell input'!$C$35</f>
        <v>#VALUE!</v>
      </c>
      <c r="DR28" s="294" t="e">
        <f t="shared" si="9"/>
        <v>#VALUE!</v>
      </c>
      <c r="DS28" s="290" t="e">
        <f>(DR28/1000000)*('1a. Spredningsmodell input'!$B$49)*'1a. Spredningsmodell input'!$C$35</f>
        <v>#VALUE!</v>
      </c>
      <c r="DT28" s="297" t="e">
        <f>($S28)*EXP(-(Stoff!$N28*365+$U28)*DN28)+DQ28</f>
        <v>#VALUE!</v>
      </c>
      <c r="DU28" s="297" t="e">
        <f>(Stoff!$P28*$S28+DS28)*EXP(-$T28*DN28)</f>
        <v>#VALUE!</v>
      </c>
      <c r="DV28" s="297" t="e">
        <f>(DT28+DU28)*1000000000/('1a. Spredningsmodell input'!$C$36*1000)</f>
        <v>#VALUE!</v>
      </c>
      <c r="DW28" s="297" t="e">
        <f>$G28*(1-EXP(-'1a. Spredningsmodell input'!$B$43*Mellomregninger!DN28))*(1-EXP(-'1a. Spredningsmodell input'!$B$46*Mellomregninger!DN28))</f>
        <v>#VALUE!</v>
      </c>
      <c r="DX28" s="297"/>
      <c r="DY28" s="297"/>
      <c r="DZ28" s="262">
        <f t="shared" si="22"/>
        <v>100</v>
      </c>
      <c r="EA28" s="298" t="e">
        <f>($S28+$Q28*($O28+$I28*($D28*(1-Stoff!$P28))*(1-EXP(-($F28+Stoff!$L28*365)*DZ28)))*(1-EXP(-($N28+Stoff!$M28*365)*DZ28)))</f>
        <v>#VALUE!</v>
      </c>
      <c r="EB28" s="294" t="e">
        <f t="shared" si="10"/>
        <v>#VALUE!</v>
      </c>
      <c r="EC28" s="296" t="e">
        <f>(EB28/1000000)*('1a. Spredningsmodell input'!$B$49)*'1a. Spredningsmodell input'!$C$35</f>
        <v>#VALUE!</v>
      </c>
      <c r="ED28" s="294" t="e">
        <f t="shared" si="11"/>
        <v>#VALUE!</v>
      </c>
      <c r="EE28" s="290" t="e">
        <f>(ED28/1000000)*('1a. Spredningsmodell input'!$B$49)*'1a. Spredningsmodell input'!$C$35</f>
        <v>#VALUE!</v>
      </c>
      <c r="EF28" s="297" t="e">
        <f>($S28)*EXP(-(Stoff!$N28*365+$U28)*DZ28)+EC28</f>
        <v>#VALUE!</v>
      </c>
      <c r="EG28" s="297" t="e">
        <f>(Stoff!$P28*$S28+EE28)*EXP(-$T28*DZ28)</f>
        <v>#VALUE!</v>
      </c>
      <c r="EH28" s="297" t="e">
        <f>(EF28+EG28)*1000000000/('1a. Spredningsmodell input'!$C$36*1000)</f>
        <v>#VALUE!</v>
      </c>
      <c r="EI28" s="297" t="e">
        <f>$G28*(1-EXP(-'1a. Spredningsmodell input'!$B$43*Mellomregninger!DZ28))*(1-EXP(-'1a. Spredningsmodell input'!$B$46*Mellomregninger!DZ28))</f>
        <v>#VALUE!</v>
      </c>
      <c r="EJ28" s="297"/>
      <c r="EK28" s="297"/>
      <c r="EL28" s="262">
        <f t="shared" si="23"/>
        <v>1.0000000000000001E+25</v>
      </c>
      <c r="EM28" s="294" t="e">
        <f>($S28+$Q28*($O28+$I28*($D28*(1-Stoff!$P28))*(1-EXP(-($F28+Stoff!$L28*365)*EL28)))*(1-EXP(-($N28+Stoff!$M28*365)*EL28)))</f>
        <v>#VALUE!</v>
      </c>
      <c r="EN28" s="296" t="e">
        <f>($S28+$Q28*($O28+$I28*($D28*(1-Stoff!$P28))*(1-EXP(-($F28+Stoff!$L28*365)*(EL28-'1a. Spredningsmodell input'!$C$35))))*(1-EXP(-($N28+Stoff!$M28*365)*(EL28-'1a. Spredningsmodell input'!$C$35))))</f>
        <v>#VALUE!</v>
      </c>
      <c r="EO28" s="294" t="e">
        <f>IF(EL28&lt;'1a. Spredningsmodell input'!$C$35,EM28-($S28)*EXP(-(Stoff!$N28*365+$U28)*EL28),EM28-EN28)</f>
        <v>#VALUE!</v>
      </c>
      <c r="EP28" s="290" t="e">
        <f>((($D28*(Stoff!$P28))*(1-EXP(-'1a. Spredningsmodell input'!$B$43*EL28)))*(1-EXP(-'1a. Spredningsmodell input'!$B$46*EL28)))</f>
        <v>#VALUE!</v>
      </c>
      <c r="EQ28" s="294" t="e">
        <f>((($D28*(Stoff!$P28))*(1-EXP(-'1a. Spredningsmodell input'!$B$43*(EL28-'1a. Spredningsmodell input'!$C$35))))*(1-EXP(-'1a. Spredningsmodell input'!$B$46*(EL28-'1a. Spredningsmodell input'!$C$35))))</f>
        <v>#VALUE!</v>
      </c>
      <c r="ER28" s="290" t="e">
        <f>IF(EL28&lt;'1a. Spredningsmodell input'!$C$35,0,EP28-EQ28)</f>
        <v>#VALUE!</v>
      </c>
      <c r="ES28" s="297" t="e">
        <f>($S28)*EXP(-(Stoff!$N28*365+$U28)*EL28)+EO28</f>
        <v>#VALUE!</v>
      </c>
      <c r="ET28" s="297" t="e">
        <f>(Stoff!$P28*$S28+ER28)*EXP(-$T28*EL28)</f>
        <v>#VALUE!</v>
      </c>
      <c r="EU28" s="297" t="e">
        <f>(ES28+ET28)*1000000000/('1a. Spredningsmodell input'!$C$36*1000)</f>
        <v>#VALUE!</v>
      </c>
      <c r="EV28" s="262" t="e">
        <f t="shared" si="12"/>
        <v>#VALUE!</v>
      </c>
      <c r="EW28" s="299" t="e">
        <f t="shared" si="13"/>
        <v>#VALUE!</v>
      </c>
      <c r="EX28" s="262" t="e">
        <f t="shared" si="24"/>
        <v>#VALUE!</v>
      </c>
    </row>
    <row r="29" spans="1:154" x14ac:dyDescent="0.35">
      <c r="A29" s="50" t="s">
        <v>181</v>
      </c>
      <c r="B29" s="34" t="str">
        <f>IF(ISNUMBER('1c. Kons. porevann'!E29),1000*'1c. Kons. porevann'!E29,IF(ISNUMBER('1b. Kons. umettet jord'!E29),1000*'1b. Kons. umettet jord'!E29/C29,""))</f>
        <v/>
      </c>
      <c r="C29" s="244">
        <f>IF(Stoff!B29="uorganisk",Stoff!C29,Stoff!D29*'1a. Spredningsmodell input'!$C$11)</f>
        <v>1.41</v>
      </c>
      <c r="D29" s="34" t="str">
        <f>IF(ISNUMBER(B29),0.000001*('1b. Kons. umettet jord'!G29*'1a. Spredningsmodell input'!$C$12+B29*0.001*'1a. Spredningsmodell input'!$C$14)*1000*'1a. Spredningsmodell input'!$B$41*'1a. Spredningsmodell input'!$C$18,"")</f>
        <v/>
      </c>
      <c r="E29" s="283">
        <f>C29*'1a. Spredningsmodell input'!$C$12/'1a. Spredningsmodell input'!$C$14+1</f>
        <v>12.984999999999998</v>
      </c>
      <c r="F29" s="284">
        <f>'1a. Spredningsmodell input'!$B$43/E29</f>
        <v>0.11551790527531768</v>
      </c>
      <c r="G29" s="34" t="e">
        <f>Stoff!P29*Mellomregninger!D29</f>
        <v>#VALUE!</v>
      </c>
      <c r="H29" s="283" t="e">
        <f>(D29-G29)*(F29/(F29+Stoff!L29))</f>
        <v>#VALUE!</v>
      </c>
      <c r="I29" s="283">
        <f>F29/(F29+Stoff!L29)</f>
        <v>1</v>
      </c>
      <c r="J29" s="285" t="str">
        <f>IF(B29="","",IF(ISNUMBER('1d. Kons. mettet sone'!E29),'1d. Kons. mettet sone'!E29,IF(ISNUMBER('1e. Kons. grunnvann'!E29),'1e. Kons. grunnvann'!E29*Mellomregninger!K29,0)))</f>
        <v/>
      </c>
      <c r="K29" s="286">
        <f>IF(Stoff!B29="uorganisk",Stoff!C29,Stoff!D29*'1a. Spredningsmodell input'!$C$24)</f>
        <v>0.14100000000000001</v>
      </c>
      <c r="L29" s="27" t="e">
        <f>IF(ISNUMBER('1e. Kons. grunnvann'!E29),1000*'1e. Kons. grunnvann'!E29,1000*J29/K29)</f>
        <v>#VALUE!</v>
      </c>
      <c r="M29" s="34">
        <f>K29*'1a. Spredningsmodell input'!$C$25/'1a. Spredningsmodell input'!$C$26+1</f>
        <v>1.5992500000000001</v>
      </c>
      <c r="N29" s="284">
        <f>'1a. Spredningsmodell input'!$C$26/M29</f>
        <v>0.25011724245740191</v>
      </c>
      <c r="O29" s="287" t="e">
        <f>0.000000001*(J29*'1a. Spredningsmodell input'!$C$25+L29)*1000*'1a. Spredningsmodell input'!$B$45</f>
        <v>#VALUE!</v>
      </c>
      <c r="P29" s="287" t="e">
        <f>O29*Stoff!P29</f>
        <v>#VALUE!</v>
      </c>
      <c r="Q29" s="287">
        <f>N29/(N29+Stoff!M29)</f>
        <v>1</v>
      </c>
      <c r="R29" s="288">
        <f>IF(ISNUMBER('1f. Kons. resipient'!E29),'1f. Kons. resipient'!E29,0)</f>
        <v>0</v>
      </c>
      <c r="S29" s="288">
        <f>0.000000001*'1a. Spredningsmodell input'!$C$36*R29*1000</f>
        <v>0</v>
      </c>
      <c r="T29" s="288">
        <f>1/'1a. Spredningsmodell input'!$C$35</f>
        <v>1</v>
      </c>
      <c r="U29" s="288">
        <f>1/'1a. Spredningsmodell input'!$C$35</f>
        <v>1</v>
      </c>
      <c r="V29" s="300" t="e">
        <f>(1/($N29+Stoff!$L29))*(LN(($D29*$I29/($D29*$I29+$J29))*($F29+Stoff!$L29+$N29+Stoff!$M29)/($N29+Stoff!$M29)))</f>
        <v>#VALUE!</v>
      </c>
      <c r="W29" s="290" t="e">
        <f>($D29-Stoff!$P29*$D29)*EXP(-($F29+Stoff!$L29*365)*V29)</f>
        <v>#VALUE!</v>
      </c>
      <c r="X29" s="291" t="e">
        <f>(Stoff!$P29*$D29)*EXP(-'1a. Spredningsmodell input'!$B$43*V29)</f>
        <v>#VALUE!</v>
      </c>
      <c r="Y29" s="290" t="e">
        <f>($D29-Stoff!$P29*$D29-W29)*($F29/($F29+Stoff!$L29*365))</f>
        <v>#VALUE!</v>
      </c>
      <c r="Z29" s="290" t="e">
        <f>(Stoff!$P29*$D29)-X29</f>
        <v>#VALUE!</v>
      </c>
      <c r="AA29" s="290" t="e">
        <f>($O29+Y29)*EXP(-($N29+Stoff!$M29*365)*V29)</f>
        <v>#VALUE!</v>
      </c>
      <c r="AB29" s="290" t="e">
        <f>(Stoff!$P29*$O29+Z29)*EXP(-('1a. Spredningsmodell input'!$B$46)*V29)</f>
        <v>#VALUE!</v>
      </c>
      <c r="AC29" s="292" t="e">
        <f>((AA29+AB29)*1000000000)/('1a. Spredningsmodell input'!$B$45*1000)</f>
        <v>#VALUE!</v>
      </c>
      <c r="AD29" s="294" t="e">
        <f>0.001*AC29/('1a. Spredningsmodell input'!$C$25+'1a. Spredningsmodell input'!$C$26/Mellomregninger!$K29)</f>
        <v>#VALUE!</v>
      </c>
      <c r="AE29" s="294" t="e">
        <f>1000*AD29/$K29+AB29*1000000000/('1a. Spredningsmodell input'!$B$45*1000)</f>
        <v>#VALUE!</v>
      </c>
      <c r="AF29" s="294" t="e">
        <f t="shared" si="0"/>
        <v>#VALUE!</v>
      </c>
      <c r="AG29" s="294" t="e">
        <f>AB29*1000000000/('1a. Spredningsmodell input'!$B$45*1000)</f>
        <v>#VALUE!</v>
      </c>
      <c r="AH29" s="300" t="e">
        <f>(1/('1a. Spredningsmodell input'!$B$46))*(LN(($D29*Stoff!$P29/($D29*Stoff!$P29+$P29*Stoff!$P29))*('1a. Spredningsmodell input'!$B$43+'1a. Spredningsmodell input'!$B$46)/('1a. Spredningsmodell input'!$B$46)))</f>
        <v>#VALUE!</v>
      </c>
      <c r="AI29" s="290" t="e">
        <f>($D29-Stoff!$P29*$D29)*EXP(-($F29+Stoff!$L29*365)*AH29)</f>
        <v>#VALUE!</v>
      </c>
      <c r="AJ29" s="291" t="e">
        <f>(Stoff!$P29*$D29)*EXP(-'1a. Spredningsmodell input'!$B$43*AH29)</f>
        <v>#VALUE!</v>
      </c>
      <c r="AK29" s="290" t="e">
        <f>($D29-Stoff!$P29*$D29-AI29)*($F29/($F29+Stoff!$L29*365))</f>
        <v>#VALUE!</v>
      </c>
      <c r="AL29" s="290" t="e">
        <f>(Stoff!$P29*$D29)-AJ29</f>
        <v>#VALUE!</v>
      </c>
      <c r="AM29" s="290" t="e">
        <f>($O29+AK29)*EXP(-($N29+Stoff!$M29*365)*AH29)</f>
        <v>#VALUE!</v>
      </c>
      <c r="AN29" s="290" t="e">
        <f>(Stoff!$P29*$O29+AL29)*EXP(-('1a. Spredningsmodell input'!$B$46)*AH29)</f>
        <v>#VALUE!</v>
      </c>
      <c r="AO29" s="292" t="e">
        <f>((AM29+AN29)*1000000000)/('1a. Spredningsmodell input'!$B$45*1000)</f>
        <v>#VALUE!</v>
      </c>
      <c r="AP29" s="294" t="e">
        <f>0.001*AO29/('1a. Spredningsmodell input'!$C$25+'1a. Spredningsmodell input'!$C$26/Mellomregninger!$K29)</f>
        <v>#VALUE!</v>
      </c>
      <c r="AQ29" s="294" t="e">
        <f>1000*AP29/$K29+AN29*1000000000/('1a. Spredningsmodell input'!$B$45*1000)</f>
        <v>#VALUE!</v>
      </c>
      <c r="AR29" s="294" t="e">
        <f t="shared" si="1"/>
        <v>#VALUE!</v>
      </c>
      <c r="AS29" s="294" t="e">
        <f>AN29*1000000000/('1a. Spredningsmodell input'!$B$45*1000)</f>
        <v>#VALUE!</v>
      </c>
      <c r="AT29" s="295">
        <f t="shared" si="14"/>
        <v>5</v>
      </c>
      <c r="AU29" s="290" t="e">
        <f>($D29-Stoff!$P29*$D29)*EXP(-($F29+Stoff!$L29*365)*AT29)</f>
        <v>#VALUE!</v>
      </c>
      <c r="AV29" s="291" t="e">
        <f>(Stoff!$P29*$D29)*EXP(-'1a. Spredningsmodell input'!$B$43*AT29)</f>
        <v>#VALUE!</v>
      </c>
      <c r="AW29" s="290" t="e">
        <f>($D29-Stoff!$P29*$D29-AU29)*($F29/($F29+Stoff!$L29*365))</f>
        <v>#VALUE!</v>
      </c>
      <c r="AX29" s="290" t="e">
        <f>(Stoff!$P29*$D29)-AV29</f>
        <v>#VALUE!</v>
      </c>
      <c r="AY29" s="290" t="e">
        <f>($O29+AW29)*EXP(-($N29+Stoff!$M29*365)*AT29)</f>
        <v>#VALUE!</v>
      </c>
      <c r="AZ29" s="290" t="e">
        <f>(Stoff!$P29*$O29+AX29)*EXP(-('1a. Spredningsmodell input'!$B$46)*AT29)</f>
        <v>#VALUE!</v>
      </c>
      <c r="BA29" s="292" t="e">
        <f>((AY29+AZ29)*1000000000)/('1a. Spredningsmodell input'!$B$45*1000)</f>
        <v>#VALUE!</v>
      </c>
      <c r="BB29" s="294" t="e">
        <f>0.001*BA29/('1a. Spredningsmodell input'!$C$25+'1a. Spredningsmodell input'!$C$26/Mellomregninger!$K29)</f>
        <v>#VALUE!</v>
      </c>
      <c r="BC29" s="294" t="e">
        <f>1000*BB29/$K29+AZ29*1000000000/('1a. Spredningsmodell input'!$B$45*1000)</f>
        <v>#VALUE!</v>
      </c>
      <c r="BD29" s="294" t="e">
        <f t="shared" si="2"/>
        <v>#VALUE!</v>
      </c>
      <c r="BE29" s="294" t="e">
        <f>AZ29*1000000000/('1a. Spredningsmodell input'!$B$45*1000)</f>
        <v>#VALUE!</v>
      </c>
      <c r="BF29" s="295">
        <f t="shared" si="15"/>
        <v>20</v>
      </c>
      <c r="BG29" s="290" t="e">
        <f>($D29-Stoff!$P29*$D29)*EXP(-($F29+Stoff!$L29*365)*BF29)</f>
        <v>#VALUE!</v>
      </c>
      <c r="BH29" s="291" t="e">
        <f>(Stoff!$P29*$D29)*EXP(-'1a. Spredningsmodell input'!$B$43*BF29)</f>
        <v>#VALUE!</v>
      </c>
      <c r="BI29" s="290" t="e">
        <f>($D29-Stoff!$P29*$D29-BG29)*($F29/($F29+Stoff!$L29*365))</f>
        <v>#VALUE!</v>
      </c>
      <c r="BJ29" s="290" t="e">
        <f>(Stoff!$P29*$D29)-BH29</f>
        <v>#VALUE!</v>
      </c>
      <c r="BK29" s="290" t="e">
        <f>($O29+BI29)*EXP(-($N29+Stoff!$M29*365)*BF29)</f>
        <v>#VALUE!</v>
      </c>
      <c r="BL29" s="290" t="e">
        <f>(Stoff!$P29*$O29+BJ29)*EXP(-('1a. Spredningsmodell input'!$B$46)*BF29)</f>
        <v>#VALUE!</v>
      </c>
      <c r="BM29" s="292" t="e">
        <f>((BK29+BL29)*1000000000)/('1a. Spredningsmodell input'!$B$45*1000)</f>
        <v>#VALUE!</v>
      </c>
      <c r="BN29" s="294" t="e">
        <f>0.001*BM29/('1a. Spredningsmodell input'!$C$25+'1a. Spredningsmodell input'!$C$26/Mellomregninger!$K29)</f>
        <v>#VALUE!</v>
      </c>
      <c r="BO29" s="294" t="e">
        <f>1000*BN29/$K29+BL29*1000000000/('1a. Spredningsmodell input'!$B$45*1000)</f>
        <v>#VALUE!</v>
      </c>
      <c r="BP29" s="294" t="e">
        <f t="shared" si="3"/>
        <v>#VALUE!</v>
      </c>
      <c r="BQ29" s="294" t="e">
        <f>BL29*1000000000/('1a. Spredningsmodell input'!$B$45*1000)</f>
        <v>#VALUE!</v>
      </c>
      <c r="BR29" s="295">
        <f t="shared" si="16"/>
        <v>100</v>
      </c>
      <c r="BS29" s="290" t="e">
        <f>($D29-Stoff!$P29*$D29)*EXP(-($F29+Stoff!$L29*365)*BR29)</f>
        <v>#VALUE!</v>
      </c>
      <c r="BT29" s="291" t="e">
        <f>(Stoff!$P29*$D29)*EXP(-'1a. Spredningsmodell input'!$B$43*BR29)</f>
        <v>#VALUE!</v>
      </c>
      <c r="BU29" s="290" t="e">
        <f>($D29-Stoff!$P29*$D29-BS29)*($F29/($F29+Stoff!$L29*365))</f>
        <v>#VALUE!</v>
      </c>
      <c r="BV29" s="290" t="e">
        <f>(Stoff!$P29*$D29)-BT29</f>
        <v>#VALUE!</v>
      </c>
      <c r="BW29" s="290" t="e">
        <f>($O29+BU29)*EXP(-($N29+Stoff!$M29*365)*BR29)</f>
        <v>#VALUE!</v>
      </c>
      <c r="BX29" s="290" t="e">
        <f>(Stoff!$P29*$O29+BV29)*EXP(-('1a. Spredningsmodell input'!$B$46)*BR29)</f>
        <v>#VALUE!</v>
      </c>
      <c r="BY29" s="292" t="e">
        <f>((BW29+BX29)*1000000000)/('1a. Spredningsmodell input'!$B$45*1000)</f>
        <v>#VALUE!</v>
      </c>
      <c r="BZ29" s="294" t="e">
        <f>0.001*BY29/('1a. Spredningsmodell input'!$C$25+'1a. Spredningsmodell input'!$C$26/Mellomregninger!$K29)</f>
        <v>#VALUE!</v>
      </c>
      <c r="CA29" s="294" t="e">
        <f>1000*BZ29/$K29+BX29*1000000000/('1a. Spredningsmodell input'!$B$45*1000)</f>
        <v>#VALUE!</v>
      </c>
      <c r="CB29" s="294" t="e">
        <f t="shared" si="4"/>
        <v>#VALUE!</v>
      </c>
      <c r="CC29" s="294" t="e">
        <f>BX29*1000000000/('1a. Spredningsmodell input'!$B$45*1000)</f>
        <v>#VALUE!</v>
      </c>
      <c r="CD29" s="294" t="e">
        <f>V29+'1a. Spredningsmodell input'!$C$35</f>
        <v>#VALUE!</v>
      </c>
      <c r="CE29" s="294" t="e">
        <f>($S29+$Q29*($O29+$I29*($D29*(1-Stoff!$P29))*(1-EXP(-($F29+Stoff!$L29*365)*CD29)))*(1-EXP(-($N29+Stoff!$M29*365)*CD29)))</f>
        <v>#VALUE!</v>
      </c>
      <c r="CF29" s="294" t="e">
        <f t="shared" si="5"/>
        <v>#VALUE!</v>
      </c>
      <c r="CG29" s="296" t="e">
        <f>(CF29/1000000)*'1a. Spredningsmodell input'!$B$49*'1a. Spredningsmodell input'!$C$35</f>
        <v>#VALUE!</v>
      </c>
      <c r="CH29" s="294" t="e">
        <f t="shared" si="17"/>
        <v>#VALUE!</v>
      </c>
      <c r="CI29" s="290" t="e">
        <f>(CH29/1000000)*'1a. Spredningsmodell input'!$B$49*'1a. Spredningsmodell input'!$C$35</f>
        <v>#VALUE!</v>
      </c>
      <c r="CJ29" s="297" t="e">
        <f>($S29)*EXP(-(Stoff!$N29*365+$U29)*CD29)+CG29</f>
        <v>#VALUE!</v>
      </c>
      <c r="CK29" s="297" t="e">
        <f>(Stoff!$P29*$S29+CI29)*EXP(-$T29*CD29)</f>
        <v>#VALUE!</v>
      </c>
      <c r="CL29" s="297" t="e">
        <f>(CJ29+CK29)*1000000000/('1a. Spredningsmodell input'!$C$36*1000)</f>
        <v>#VALUE!</v>
      </c>
      <c r="CM29" s="297" t="e">
        <f>$G29*(1-EXP(-'1a. Spredningsmodell input'!$B$43*Mellomregninger!CD29))*(1-EXP(-'1a. Spredningsmodell input'!$B$46*Mellomregninger!CD29))</f>
        <v>#VALUE!</v>
      </c>
      <c r="CN29" s="297"/>
      <c r="CO29" s="297"/>
      <c r="CP29" s="290">
        <f>IF(ISNUMBER(AH29),AH29+'1a. Spredningsmodell input'!$C$35,'1a. Spredningsmodell input'!$C$35)</f>
        <v>1</v>
      </c>
      <c r="CQ29" s="294" t="e">
        <f>($S29+$Q29*($O29+$I29*($D29*(1-Stoff!$P29))*(1-EXP(-($F29+Stoff!$L29*365)*CP29)))*(1-EXP(-($N29+Stoff!$M29*365)*CP29)))</f>
        <v>#VALUE!</v>
      </c>
      <c r="CR29" s="294" t="e">
        <f t="shared" si="6"/>
        <v>#VALUE!</v>
      </c>
      <c r="CS29" s="296" t="e">
        <f>(CR29/1000000)*('1a. Spredningsmodell input'!$B$49*'1a. Spredningsmodell input'!$C$35)</f>
        <v>#VALUE!</v>
      </c>
      <c r="CT29" s="294" t="e">
        <f t="shared" si="7"/>
        <v>#VALUE!</v>
      </c>
      <c r="CU29" s="290" t="e">
        <f>(CT29/1000000)*('1a. Spredningsmodell input'!$B$49)*'1a. Spredningsmodell input'!$C$35</f>
        <v>#VALUE!</v>
      </c>
      <c r="CV29" s="297" t="e">
        <f>($S29)*EXP(-(Stoff!$N29*365+$U29)*CP29)+CS29</f>
        <v>#VALUE!</v>
      </c>
      <c r="CW29" s="297" t="e">
        <f>(Stoff!$P29*$S29+CU29)*EXP(-$T29*CP29)</f>
        <v>#VALUE!</v>
      </c>
      <c r="CX29" s="297">
        <f>IF(ISERROR(CV29),0,(CV29+CW29)*1000000000/('1a. Spredningsmodell input'!$C$36*1000))</f>
        <v>0</v>
      </c>
      <c r="CY29" s="297" t="e">
        <f>$G29*(1-EXP(-'1a. Spredningsmodell input'!$B$43*Mellomregninger!CP29))*(1-EXP(-'1a. Spredningsmodell input'!$B$46*Mellomregninger!CP29))</f>
        <v>#VALUE!</v>
      </c>
      <c r="CZ29" s="297"/>
      <c r="DA29" s="297"/>
      <c r="DB29" s="262">
        <f t="shared" si="18"/>
        <v>5</v>
      </c>
      <c r="DC29" s="298" t="e">
        <f>($S29+$Q29*($O29+$I29*($D29*(1-Stoff!$P29))*(1-EXP(-($F29+Stoff!$L29*365)*DB29)))*(1-EXP(-($N29+Stoff!$M29*365)*DB29)))</f>
        <v>#VALUE!</v>
      </c>
      <c r="DD29" s="294" t="e">
        <f t="shared" si="8"/>
        <v>#VALUE!</v>
      </c>
      <c r="DE29" s="296" t="e">
        <f>(DD29/1000000)*('1a. Spredningsmodell input'!$B$49)*'1a. Spredningsmodell input'!$C$35</f>
        <v>#VALUE!</v>
      </c>
      <c r="DF29" s="294" t="e">
        <f t="shared" si="19"/>
        <v>#VALUE!</v>
      </c>
      <c r="DG29" s="290" t="e">
        <f>(DF29/1000000)*('1a. Spredningsmodell input'!$B$49)*'1a. Spredningsmodell input'!$C$35</f>
        <v>#VALUE!</v>
      </c>
      <c r="DH29" s="297" t="e">
        <f>($S29)*EXP(-(Stoff!$N29*365+$U29)*DB29)+DE29</f>
        <v>#VALUE!</v>
      </c>
      <c r="DI29" s="297" t="e">
        <f>(Stoff!$P29*$S29+DG29)*EXP(-$T29*DB29)</f>
        <v>#VALUE!</v>
      </c>
      <c r="DJ29" s="297" t="e">
        <f>(DH29+DI29)*1000000000/('1a. Spredningsmodell input'!$C$36*1000)</f>
        <v>#VALUE!</v>
      </c>
      <c r="DK29" s="297" t="e">
        <f>$G29*(1-EXP(-'1a. Spredningsmodell input'!$B$43*Mellomregninger!DB29))*(1-EXP(-'1a. Spredningsmodell input'!$B$46*Mellomregninger!DB29))</f>
        <v>#VALUE!</v>
      </c>
      <c r="DL29" s="297"/>
      <c r="DM29" s="297"/>
      <c r="DN29" s="262">
        <f t="shared" si="20"/>
        <v>20</v>
      </c>
      <c r="DO29" s="298" t="e">
        <f>($S29+$Q29*($O29+$I29*($D29*(1-Stoff!$P29))*(1-EXP(-($F29+Stoff!$L29*365)*DN29)))*(1-EXP(-($N29+Stoff!$M29*365)*DN29)))</f>
        <v>#VALUE!</v>
      </c>
      <c r="DP29" s="294" t="e">
        <f t="shared" si="21"/>
        <v>#VALUE!</v>
      </c>
      <c r="DQ29" s="296" t="e">
        <f>(DP29/1000000)*('1a. Spredningsmodell input'!$B$49)*'1a. Spredningsmodell input'!$C$35</f>
        <v>#VALUE!</v>
      </c>
      <c r="DR29" s="294" t="e">
        <f t="shared" si="9"/>
        <v>#VALUE!</v>
      </c>
      <c r="DS29" s="290" t="e">
        <f>(DR29/1000000)*('1a. Spredningsmodell input'!$B$49)*'1a. Spredningsmodell input'!$C$35</f>
        <v>#VALUE!</v>
      </c>
      <c r="DT29" s="297" t="e">
        <f>($S29)*EXP(-(Stoff!$N29*365+$U29)*DN29)+DQ29</f>
        <v>#VALUE!</v>
      </c>
      <c r="DU29" s="297" t="e">
        <f>(Stoff!$P29*$S29+DS29)*EXP(-$T29*DN29)</f>
        <v>#VALUE!</v>
      </c>
      <c r="DV29" s="297" t="e">
        <f>(DT29+DU29)*1000000000/('1a. Spredningsmodell input'!$C$36*1000)</f>
        <v>#VALUE!</v>
      </c>
      <c r="DW29" s="297" t="e">
        <f>$G29*(1-EXP(-'1a. Spredningsmodell input'!$B$43*Mellomregninger!DN29))*(1-EXP(-'1a. Spredningsmodell input'!$B$46*Mellomregninger!DN29))</f>
        <v>#VALUE!</v>
      </c>
      <c r="DX29" s="297"/>
      <c r="DY29" s="297"/>
      <c r="DZ29" s="262">
        <f t="shared" si="22"/>
        <v>100</v>
      </c>
      <c r="EA29" s="298" t="e">
        <f>($S29+$Q29*($O29+$I29*($D29*(1-Stoff!$P29))*(1-EXP(-($F29+Stoff!$L29*365)*DZ29)))*(1-EXP(-($N29+Stoff!$M29*365)*DZ29)))</f>
        <v>#VALUE!</v>
      </c>
      <c r="EB29" s="294" t="e">
        <f t="shared" si="10"/>
        <v>#VALUE!</v>
      </c>
      <c r="EC29" s="296" t="e">
        <f>(EB29/1000000)*('1a. Spredningsmodell input'!$B$49)*'1a. Spredningsmodell input'!$C$35</f>
        <v>#VALUE!</v>
      </c>
      <c r="ED29" s="294" t="e">
        <f t="shared" si="11"/>
        <v>#VALUE!</v>
      </c>
      <c r="EE29" s="290" t="e">
        <f>(ED29/1000000)*('1a. Spredningsmodell input'!$B$49)*'1a. Spredningsmodell input'!$C$35</f>
        <v>#VALUE!</v>
      </c>
      <c r="EF29" s="297" t="e">
        <f>($S29)*EXP(-(Stoff!$N29*365+$U29)*DZ29)+EC29</f>
        <v>#VALUE!</v>
      </c>
      <c r="EG29" s="297" t="e">
        <f>(Stoff!$P29*$S29+EE29)*EXP(-$T29*DZ29)</f>
        <v>#VALUE!</v>
      </c>
      <c r="EH29" s="297" t="e">
        <f>(EF29+EG29)*1000000000/('1a. Spredningsmodell input'!$C$36*1000)</f>
        <v>#VALUE!</v>
      </c>
      <c r="EI29" s="297" t="e">
        <f>$G29*(1-EXP(-'1a. Spredningsmodell input'!$B$43*Mellomregninger!DZ29))*(1-EXP(-'1a. Spredningsmodell input'!$B$46*Mellomregninger!DZ29))</f>
        <v>#VALUE!</v>
      </c>
      <c r="EJ29" s="297"/>
      <c r="EK29" s="297"/>
      <c r="EL29" s="262">
        <f t="shared" si="23"/>
        <v>1.0000000000000001E+25</v>
      </c>
      <c r="EM29" s="294" t="e">
        <f>($S29+$Q29*($O29+$I29*($D29*(1-Stoff!$P29))*(1-EXP(-($F29+Stoff!$L29*365)*EL29)))*(1-EXP(-($N29+Stoff!$M29*365)*EL29)))</f>
        <v>#VALUE!</v>
      </c>
      <c r="EN29" s="296" t="e">
        <f>($S29+$Q29*($O29+$I29*($D29*(1-Stoff!$P29))*(1-EXP(-($F29+Stoff!$L29*365)*(EL29-'1a. Spredningsmodell input'!$C$35))))*(1-EXP(-($N29+Stoff!$M29*365)*(EL29-'1a. Spredningsmodell input'!$C$35))))</f>
        <v>#VALUE!</v>
      </c>
      <c r="EO29" s="294" t="e">
        <f>IF(EL29&lt;'1a. Spredningsmodell input'!$C$35,EM29-($S29)*EXP(-(Stoff!$N29*365+$U29)*EL29),EM29-EN29)</f>
        <v>#VALUE!</v>
      </c>
      <c r="EP29" s="290" t="e">
        <f>((($D29*(Stoff!$P29))*(1-EXP(-'1a. Spredningsmodell input'!$B$43*EL29)))*(1-EXP(-'1a. Spredningsmodell input'!$B$46*EL29)))</f>
        <v>#VALUE!</v>
      </c>
      <c r="EQ29" s="294" t="e">
        <f>((($D29*(Stoff!$P29))*(1-EXP(-'1a. Spredningsmodell input'!$B$43*(EL29-'1a. Spredningsmodell input'!$C$35))))*(1-EXP(-'1a. Spredningsmodell input'!$B$46*(EL29-'1a. Spredningsmodell input'!$C$35))))</f>
        <v>#VALUE!</v>
      </c>
      <c r="ER29" s="290" t="e">
        <f>IF(EL29&lt;'1a. Spredningsmodell input'!$C$35,0,EP29-EQ29)</f>
        <v>#VALUE!</v>
      </c>
      <c r="ES29" s="297" t="e">
        <f>($S29)*EXP(-(Stoff!$N29*365+$U29)*EL29)+EO29</f>
        <v>#VALUE!</v>
      </c>
      <c r="ET29" s="297" t="e">
        <f>(Stoff!$P29*$S29+ER29)*EXP(-$T29*EL29)</f>
        <v>#VALUE!</v>
      </c>
      <c r="EU29" s="297" t="e">
        <f>(ES29+ET29)*1000000000/('1a. Spredningsmodell input'!$C$36*1000)</f>
        <v>#VALUE!</v>
      </c>
      <c r="EV29" s="262" t="e">
        <f t="shared" si="12"/>
        <v>#VALUE!</v>
      </c>
      <c r="EW29" s="299" t="e">
        <f t="shared" si="13"/>
        <v>#VALUE!</v>
      </c>
      <c r="EX29" s="262" t="e">
        <f t="shared" si="24"/>
        <v>#VALUE!</v>
      </c>
    </row>
    <row r="30" spans="1:154" x14ac:dyDescent="0.35">
      <c r="A30" s="50" t="s">
        <v>180</v>
      </c>
      <c r="B30" s="34" t="str">
        <f>IF(ISNUMBER('1c. Kons. porevann'!E30),1000*'1c. Kons. porevann'!E30,IF(ISNUMBER('1b. Kons. umettet jord'!E30),1000*'1b. Kons. umettet jord'!E30/C30,""))</f>
        <v/>
      </c>
      <c r="C30" s="244">
        <f>IF(Stoff!B30="uorganisk",Stoff!C30,Stoff!D30*'1a. Spredningsmodell input'!$C$11)</f>
        <v>0.84099999999999997</v>
      </c>
      <c r="D30" s="34" t="str">
        <f>IF(ISNUMBER(B30),0.000001*('1b. Kons. umettet jord'!G30*'1a. Spredningsmodell input'!$C$12+B30*0.001*'1a. Spredningsmodell input'!$C$14)*1000*'1a. Spredningsmodell input'!$B$41*'1a. Spredningsmodell input'!$C$18,"")</f>
        <v/>
      </c>
      <c r="E30" s="283">
        <f>C30*'1a. Spredningsmodell input'!$C$12/'1a. Spredningsmodell input'!$C$14+1</f>
        <v>8.1484999999999985</v>
      </c>
      <c r="F30" s="284">
        <f>'1a. Spredningsmodell input'!$B$43/E30</f>
        <v>0.18408296005399769</v>
      </c>
      <c r="G30" s="34" t="e">
        <f>Stoff!P30*Mellomregninger!D30</f>
        <v>#VALUE!</v>
      </c>
      <c r="H30" s="283" t="e">
        <f>(D30-G30)*(F30/(F30+Stoff!L30))</f>
        <v>#VALUE!</v>
      </c>
      <c r="I30" s="283">
        <f>F30/(F30+Stoff!L30)</f>
        <v>1</v>
      </c>
      <c r="J30" s="285" t="str">
        <f>IF(B30="","",IF(ISNUMBER('1d. Kons. mettet sone'!E30),'1d. Kons. mettet sone'!E30,IF(ISNUMBER('1e. Kons. grunnvann'!E30),'1e. Kons. grunnvann'!E30*Mellomregninger!K30,0)))</f>
        <v/>
      </c>
      <c r="K30" s="286">
        <f>IF(Stoff!B30="uorganisk",Stoff!C30,Stoff!D30*'1a. Spredningsmodell input'!$C$24)</f>
        <v>8.4099999999999994E-2</v>
      </c>
      <c r="L30" s="27" t="e">
        <f>IF(ISNUMBER('1e. Kons. grunnvann'!E30),1000*'1e. Kons. grunnvann'!E30,1000*J30/K30)</f>
        <v>#VALUE!</v>
      </c>
      <c r="M30" s="34">
        <f>K30*'1a. Spredningsmodell input'!$C$25/'1a. Spredningsmodell input'!$C$26+1</f>
        <v>1.3574249999999999</v>
      </c>
      <c r="N30" s="284">
        <f>'1a. Spredningsmodell input'!$C$26/M30</f>
        <v>0.29467558060297994</v>
      </c>
      <c r="O30" s="287" t="e">
        <f>0.000000001*(J30*'1a. Spredningsmodell input'!$C$25+L30)*1000*'1a. Spredningsmodell input'!$B$45</f>
        <v>#VALUE!</v>
      </c>
      <c r="P30" s="287" t="e">
        <f>O30*Stoff!P30</f>
        <v>#VALUE!</v>
      </c>
      <c r="Q30" s="287">
        <f>N30/(N30+Stoff!M30)</f>
        <v>1</v>
      </c>
      <c r="R30" s="288">
        <f>IF(ISNUMBER('1f. Kons. resipient'!E30),'1f. Kons. resipient'!E30,0)</f>
        <v>0</v>
      </c>
      <c r="S30" s="288">
        <f>0.000000001*'1a. Spredningsmodell input'!$C$36*R30*1000</f>
        <v>0</v>
      </c>
      <c r="T30" s="288">
        <f>1/'1a. Spredningsmodell input'!$C$35</f>
        <v>1</v>
      </c>
      <c r="U30" s="288">
        <f>1/'1a. Spredningsmodell input'!$C$35</f>
        <v>1</v>
      </c>
      <c r="V30" s="300" t="e">
        <f>(1/($N30+Stoff!$L30))*(LN(($D30*$I30/($D30*$I30+$J30))*($F30+Stoff!$L30+$N30+Stoff!$M30)/($N30+Stoff!$M30)))</f>
        <v>#VALUE!</v>
      </c>
      <c r="W30" s="290" t="e">
        <f>($D30-Stoff!$P30*$D30)*EXP(-($F30+Stoff!$L30*365)*V30)</f>
        <v>#VALUE!</v>
      </c>
      <c r="X30" s="291" t="e">
        <f>(Stoff!$P30*$D30)*EXP(-'1a. Spredningsmodell input'!$B$43*V30)</f>
        <v>#VALUE!</v>
      </c>
      <c r="Y30" s="290" t="e">
        <f>($D30-Stoff!$P30*$D30-W30)*($F30/($F30+Stoff!$L30*365))</f>
        <v>#VALUE!</v>
      </c>
      <c r="Z30" s="290" t="e">
        <f>(Stoff!$P30*$D30)-X30</f>
        <v>#VALUE!</v>
      </c>
      <c r="AA30" s="290" t="e">
        <f>($O30+Y30)*EXP(-($N30+Stoff!$M30*365)*V30)</f>
        <v>#VALUE!</v>
      </c>
      <c r="AB30" s="290" t="e">
        <f>(Stoff!$P30*$O30+Z30)*EXP(-('1a. Spredningsmodell input'!$B$46)*V30)</f>
        <v>#VALUE!</v>
      </c>
      <c r="AC30" s="292" t="e">
        <f>((AA30+AB30)*1000000000)/('1a. Spredningsmodell input'!$B$45*1000)</f>
        <v>#VALUE!</v>
      </c>
      <c r="AD30" s="294" t="e">
        <f>0.001*AC30/('1a. Spredningsmodell input'!$C$25+'1a. Spredningsmodell input'!$C$26/Mellomregninger!$K30)</f>
        <v>#VALUE!</v>
      </c>
      <c r="AE30" s="294" t="e">
        <f>1000*AD30/$K30+AB30*1000000000/('1a. Spredningsmodell input'!$B$45*1000)</f>
        <v>#VALUE!</v>
      </c>
      <c r="AF30" s="294" t="e">
        <f t="shared" si="0"/>
        <v>#VALUE!</v>
      </c>
      <c r="AG30" s="294" t="e">
        <f>AB30*1000000000/('1a. Spredningsmodell input'!$B$45*1000)</f>
        <v>#VALUE!</v>
      </c>
      <c r="AH30" s="300" t="e">
        <f>(1/('1a. Spredningsmodell input'!$B$46))*(LN(($D30*Stoff!$P30/($D30*Stoff!$P30+$P30*Stoff!$P30))*('1a. Spredningsmodell input'!$B$43+'1a. Spredningsmodell input'!$B$46)/('1a. Spredningsmodell input'!$B$46)))</f>
        <v>#VALUE!</v>
      </c>
      <c r="AI30" s="290" t="e">
        <f>($D30-Stoff!$P30*$D30)*EXP(-($F30+Stoff!$L30*365)*AH30)</f>
        <v>#VALUE!</v>
      </c>
      <c r="AJ30" s="291" t="e">
        <f>(Stoff!$P30*$D30)*EXP(-'1a. Spredningsmodell input'!$B$43*AH30)</f>
        <v>#VALUE!</v>
      </c>
      <c r="AK30" s="290" t="e">
        <f>($D30-Stoff!$P30*$D30-AI30)*($F30/($F30+Stoff!$L30*365))</f>
        <v>#VALUE!</v>
      </c>
      <c r="AL30" s="290" t="e">
        <f>(Stoff!$P30*$D30)-AJ30</f>
        <v>#VALUE!</v>
      </c>
      <c r="AM30" s="290" t="e">
        <f>($O30+AK30)*EXP(-($N30+Stoff!$M30*365)*AH30)</f>
        <v>#VALUE!</v>
      </c>
      <c r="AN30" s="290" t="e">
        <f>(Stoff!$P30*$O30+AL30)*EXP(-('1a. Spredningsmodell input'!$B$46)*AH30)</f>
        <v>#VALUE!</v>
      </c>
      <c r="AO30" s="292" t="e">
        <f>((AM30+AN30)*1000000000)/('1a. Spredningsmodell input'!$B$45*1000)</f>
        <v>#VALUE!</v>
      </c>
      <c r="AP30" s="294" t="e">
        <f>0.001*AO30/('1a. Spredningsmodell input'!$C$25+'1a. Spredningsmodell input'!$C$26/Mellomregninger!$K30)</f>
        <v>#VALUE!</v>
      </c>
      <c r="AQ30" s="294" t="e">
        <f>1000*AP30/$K30+AN30*1000000000/('1a. Spredningsmodell input'!$B$45*1000)</f>
        <v>#VALUE!</v>
      </c>
      <c r="AR30" s="294" t="e">
        <f t="shared" si="1"/>
        <v>#VALUE!</v>
      </c>
      <c r="AS30" s="294" t="e">
        <f>AN30*1000000000/('1a. Spredningsmodell input'!$B$45*1000)</f>
        <v>#VALUE!</v>
      </c>
      <c r="AT30" s="295">
        <f t="shared" si="14"/>
        <v>5</v>
      </c>
      <c r="AU30" s="290" t="e">
        <f>($D30-Stoff!$P30*$D30)*EXP(-($F30+Stoff!$L30*365)*AT30)</f>
        <v>#VALUE!</v>
      </c>
      <c r="AV30" s="291" t="e">
        <f>(Stoff!$P30*$D30)*EXP(-'1a. Spredningsmodell input'!$B$43*AT30)</f>
        <v>#VALUE!</v>
      </c>
      <c r="AW30" s="290" t="e">
        <f>($D30-Stoff!$P30*$D30-AU30)*($F30/($F30+Stoff!$L30*365))</f>
        <v>#VALUE!</v>
      </c>
      <c r="AX30" s="290" t="e">
        <f>(Stoff!$P30*$D30)-AV30</f>
        <v>#VALUE!</v>
      </c>
      <c r="AY30" s="290" t="e">
        <f>($O30+AW30)*EXP(-($N30+Stoff!$M30*365)*AT30)</f>
        <v>#VALUE!</v>
      </c>
      <c r="AZ30" s="290" t="e">
        <f>(Stoff!$P30*$O30+AX30)*EXP(-('1a. Spredningsmodell input'!$B$46)*AT30)</f>
        <v>#VALUE!</v>
      </c>
      <c r="BA30" s="292" t="e">
        <f>((AY30+AZ30)*1000000000)/('1a. Spredningsmodell input'!$B$45*1000)</f>
        <v>#VALUE!</v>
      </c>
      <c r="BB30" s="294" t="e">
        <f>0.001*BA30/('1a. Spredningsmodell input'!$C$25+'1a. Spredningsmodell input'!$C$26/Mellomregninger!$K30)</f>
        <v>#VALUE!</v>
      </c>
      <c r="BC30" s="294" t="e">
        <f>1000*BB30/$K30+AZ30*1000000000/('1a. Spredningsmodell input'!$B$45*1000)</f>
        <v>#VALUE!</v>
      </c>
      <c r="BD30" s="294" t="e">
        <f t="shared" si="2"/>
        <v>#VALUE!</v>
      </c>
      <c r="BE30" s="294" t="e">
        <f>AZ30*1000000000/('1a. Spredningsmodell input'!$B$45*1000)</f>
        <v>#VALUE!</v>
      </c>
      <c r="BF30" s="295">
        <f t="shared" si="15"/>
        <v>20</v>
      </c>
      <c r="BG30" s="290" t="e">
        <f>($D30-Stoff!$P30*$D30)*EXP(-($F30+Stoff!$L30*365)*BF30)</f>
        <v>#VALUE!</v>
      </c>
      <c r="BH30" s="291" t="e">
        <f>(Stoff!$P30*$D30)*EXP(-'1a. Spredningsmodell input'!$B$43*BF30)</f>
        <v>#VALUE!</v>
      </c>
      <c r="BI30" s="290" t="e">
        <f>($D30-Stoff!$P30*$D30-BG30)*($F30/($F30+Stoff!$L30*365))</f>
        <v>#VALUE!</v>
      </c>
      <c r="BJ30" s="290" t="e">
        <f>(Stoff!$P30*$D30)-BH30</f>
        <v>#VALUE!</v>
      </c>
      <c r="BK30" s="290" t="e">
        <f>($O30+BI30)*EXP(-($N30+Stoff!$M30*365)*BF30)</f>
        <v>#VALUE!</v>
      </c>
      <c r="BL30" s="290" t="e">
        <f>(Stoff!$P30*$O30+BJ30)*EXP(-('1a. Spredningsmodell input'!$B$46)*BF30)</f>
        <v>#VALUE!</v>
      </c>
      <c r="BM30" s="292" t="e">
        <f>((BK30+BL30)*1000000000)/('1a. Spredningsmodell input'!$B$45*1000)</f>
        <v>#VALUE!</v>
      </c>
      <c r="BN30" s="294" t="e">
        <f>0.001*BM30/('1a. Spredningsmodell input'!$C$25+'1a. Spredningsmodell input'!$C$26/Mellomregninger!$K30)</f>
        <v>#VALUE!</v>
      </c>
      <c r="BO30" s="294" t="e">
        <f>1000*BN30/$K30+BL30*1000000000/('1a. Spredningsmodell input'!$B$45*1000)</f>
        <v>#VALUE!</v>
      </c>
      <c r="BP30" s="294" t="e">
        <f t="shared" si="3"/>
        <v>#VALUE!</v>
      </c>
      <c r="BQ30" s="294" t="e">
        <f>BL30*1000000000/('1a. Spredningsmodell input'!$B$45*1000)</f>
        <v>#VALUE!</v>
      </c>
      <c r="BR30" s="295">
        <f t="shared" si="16"/>
        <v>100</v>
      </c>
      <c r="BS30" s="290" t="e">
        <f>($D30-Stoff!$P30*$D30)*EXP(-($F30+Stoff!$L30*365)*BR30)</f>
        <v>#VALUE!</v>
      </c>
      <c r="BT30" s="291" t="e">
        <f>(Stoff!$P30*$D30)*EXP(-'1a. Spredningsmodell input'!$B$43*BR30)</f>
        <v>#VALUE!</v>
      </c>
      <c r="BU30" s="290" t="e">
        <f>($D30-Stoff!$P30*$D30-BS30)*($F30/($F30+Stoff!$L30*365))</f>
        <v>#VALUE!</v>
      </c>
      <c r="BV30" s="290" t="e">
        <f>(Stoff!$P30*$D30)-BT30</f>
        <v>#VALUE!</v>
      </c>
      <c r="BW30" s="290" t="e">
        <f>($O30+BU30)*EXP(-($N30+Stoff!$M30*365)*BR30)</f>
        <v>#VALUE!</v>
      </c>
      <c r="BX30" s="290" t="e">
        <f>(Stoff!$P30*$O30+BV30)*EXP(-('1a. Spredningsmodell input'!$B$46)*BR30)</f>
        <v>#VALUE!</v>
      </c>
      <c r="BY30" s="292" t="e">
        <f>((BW30+BX30)*1000000000)/('1a. Spredningsmodell input'!$B$45*1000)</f>
        <v>#VALUE!</v>
      </c>
      <c r="BZ30" s="294" t="e">
        <f>0.001*BY30/('1a. Spredningsmodell input'!$C$25+'1a. Spredningsmodell input'!$C$26/Mellomregninger!$K30)</f>
        <v>#VALUE!</v>
      </c>
      <c r="CA30" s="294" t="e">
        <f>1000*BZ30/$K30+BX30*1000000000/('1a. Spredningsmodell input'!$B$45*1000)</f>
        <v>#VALUE!</v>
      </c>
      <c r="CB30" s="294" t="e">
        <f t="shared" si="4"/>
        <v>#VALUE!</v>
      </c>
      <c r="CC30" s="294" t="e">
        <f>BX30*1000000000/('1a. Spredningsmodell input'!$B$45*1000)</f>
        <v>#VALUE!</v>
      </c>
      <c r="CD30" s="294" t="e">
        <f>V30+'1a. Spredningsmodell input'!$C$35</f>
        <v>#VALUE!</v>
      </c>
      <c r="CE30" s="294" t="e">
        <f>($S30+$Q30*($O30+$I30*($D30*(1-Stoff!$P30))*(1-EXP(-($F30+Stoff!$L30*365)*CD30)))*(1-EXP(-($N30+Stoff!$M30*365)*CD30)))</f>
        <v>#VALUE!</v>
      </c>
      <c r="CF30" s="294" t="e">
        <f t="shared" si="5"/>
        <v>#VALUE!</v>
      </c>
      <c r="CG30" s="296" t="e">
        <f>(CF30/1000000)*'1a. Spredningsmodell input'!$B$49*'1a. Spredningsmodell input'!$C$35</f>
        <v>#VALUE!</v>
      </c>
      <c r="CH30" s="294" t="e">
        <f t="shared" si="17"/>
        <v>#VALUE!</v>
      </c>
      <c r="CI30" s="290" t="e">
        <f>(CH30/1000000)*'1a. Spredningsmodell input'!$B$49*'1a. Spredningsmodell input'!$C$35</f>
        <v>#VALUE!</v>
      </c>
      <c r="CJ30" s="297" t="e">
        <f>($S30)*EXP(-(Stoff!$N30*365+$U30)*CD30)+CG30</f>
        <v>#VALUE!</v>
      </c>
      <c r="CK30" s="297" t="e">
        <f>(Stoff!$P30*$S30+CI30)*EXP(-$T30*CD30)</f>
        <v>#VALUE!</v>
      </c>
      <c r="CL30" s="297" t="e">
        <f>(CJ30+CK30)*1000000000/('1a. Spredningsmodell input'!$C$36*1000)</f>
        <v>#VALUE!</v>
      </c>
      <c r="CM30" s="297" t="e">
        <f>$G30*(1-EXP(-'1a. Spredningsmodell input'!$B$43*Mellomregninger!CD30))*(1-EXP(-'1a. Spredningsmodell input'!$B$46*Mellomregninger!CD30))</f>
        <v>#VALUE!</v>
      </c>
      <c r="CN30" s="297"/>
      <c r="CO30" s="297"/>
      <c r="CP30" s="290">
        <f>IF(ISNUMBER(AH30),AH30+'1a. Spredningsmodell input'!$C$35,'1a. Spredningsmodell input'!$C$35)</f>
        <v>1</v>
      </c>
      <c r="CQ30" s="294" t="e">
        <f>($S30+$Q30*($O30+$I30*($D30*(1-Stoff!$P30))*(1-EXP(-($F30+Stoff!$L30*365)*CP30)))*(1-EXP(-($N30+Stoff!$M30*365)*CP30)))</f>
        <v>#VALUE!</v>
      </c>
      <c r="CR30" s="294" t="e">
        <f t="shared" si="6"/>
        <v>#VALUE!</v>
      </c>
      <c r="CS30" s="296" t="e">
        <f>(CR30/1000000)*('1a. Spredningsmodell input'!$B$49*'1a. Spredningsmodell input'!$C$35)</f>
        <v>#VALUE!</v>
      </c>
      <c r="CT30" s="294" t="e">
        <f t="shared" si="7"/>
        <v>#VALUE!</v>
      </c>
      <c r="CU30" s="290" t="e">
        <f>(CT30/1000000)*('1a. Spredningsmodell input'!$B$49)*'1a. Spredningsmodell input'!$C$35</f>
        <v>#VALUE!</v>
      </c>
      <c r="CV30" s="297" t="e">
        <f>($S30)*EXP(-(Stoff!$N30*365+$U30)*CP30)+CS30</f>
        <v>#VALUE!</v>
      </c>
      <c r="CW30" s="297" t="e">
        <f>(Stoff!$P30*$S30+CU30)*EXP(-$T30*CP30)</f>
        <v>#VALUE!</v>
      </c>
      <c r="CX30" s="297">
        <f>IF(ISERROR(CV30),0,(CV30+CW30)*1000000000/('1a. Spredningsmodell input'!$C$36*1000))</f>
        <v>0</v>
      </c>
      <c r="CY30" s="297" t="e">
        <f>$G30*(1-EXP(-'1a. Spredningsmodell input'!$B$43*Mellomregninger!CP30))*(1-EXP(-'1a. Spredningsmodell input'!$B$46*Mellomregninger!CP30))</f>
        <v>#VALUE!</v>
      </c>
      <c r="CZ30" s="297"/>
      <c r="DA30" s="297"/>
      <c r="DB30" s="262">
        <f t="shared" si="18"/>
        <v>5</v>
      </c>
      <c r="DC30" s="298" t="e">
        <f>($S30+$Q30*($O30+$I30*($D30*(1-Stoff!$P30))*(1-EXP(-($F30+Stoff!$L30*365)*DB30)))*(1-EXP(-($N30+Stoff!$M30*365)*DB30)))</f>
        <v>#VALUE!</v>
      </c>
      <c r="DD30" s="294" t="e">
        <f t="shared" si="8"/>
        <v>#VALUE!</v>
      </c>
      <c r="DE30" s="296" t="e">
        <f>(DD30/1000000)*('1a. Spredningsmodell input'!$B$49)*'1a. Spredningsmodell input'!$C$35</f>
        <v>#VALUE!</v>
      </c>
      <c r="DF30" s="294" t="e">
        <f t="shared" si="19"/>
        <v>#VALUE!</v>
      </c>
      <c r="DG30" s="290" t="e">
        <f>(DF30/1000000)*('1a. Spredningsmodell input'!$B$49)*'1a. Spredningsmodell input'!$C$35</f>
        <v>#VALUE!</v>
      </c>
      <c r="DH30" s="297" t="e">
        <f>($S30)*EXP(-(Stoff!$N30*365+$U30)*DB30)+DE30</f>
        <v>#VALUE!</v>
      </c>
      <c r="DI30" s="297" t="e">
        <f>(Stoff!$P30*$S30+DG30)*EXP(-$T30*DB30)</f>
        <v>#VALUE!</v>
      </c>
      <c r="DJ30" s="297" t="e">
        <f>(DH30+DI30)*1000000000/('1a. Spredningsmodell input'!$C$36*1000)</f>
        <v>#VALUE!</v>
      </c>
      <c r="DK30" s="297" t="e">
        <f>$G30*(1-EXP(-'1a. Spredningsmodell input'!$B$43*Mellomregninger!DB30))*(1-EXP(-'1a. Spredningsmodell input'!$B$46*Mellomregninger!DB30))</f>
        <v>#VALUE!</v>
      </c>
      <c r="DL30" s="297"/>
      <c r="DM30" s="297"/>
      <c r="DN30" s="262">
        <f t="shared" si="20"/>
        <v>20</v>
      </c>
      <c r="DO30" s="298" t="e">
        <f>($S30+$Q30*($O30+$I30*($D30*(1-Stoff!$P30))*(1-EXP(-($F30+Stoff!$L30*365)*DN30)))*(1-EXP(-($N30+Stoff!$M30*365)*DN30)))</f>
        <v>#VALUE!</v>
      </c>
      <c r="DP30" s="294" t="e">
        <f t="shared" si="21"/>
        <v>#VALUE!</v>
      </c>
      <c r="DQ30" s="296" t="e">
        <f>(DP30/1000000)*('1a. Spredningsmodell input'!$B$49)*'1a. Spredningsmodell input'!$C$35</f>
        <v>#VALUE!</v>
      </c>
      <c r="DR30" s="294" t="e">
        <f t="shared" si="9"/>
        <v>#VALUE!</v>
      </c>
      <c r="DS30" s="290" t="e">
        <f>(DR30/1000000)*('1a. Spredningsmodell input'!$B$49)*'1a. Spredningsmodell input'!$C$35</f>
        <v>#VALUE!</v>
      </c>
      <c r="DT30" s="297" t="e">
        <f>($S30)*EXP(-(Stoff!$N30*365+$U30)*DN30)+DQ30</f>
        <v>#VALUE!</v>
      </c>
      <c r="DU30" s="297" t="e">
        <f>(Stoff!$P30*$S30+DS30)*EXP(-$T30*DN30)</f>
        <v>#VALUE!</v>
      </c>
      <c r="DV30" s="297" t="e">
        <f>(DT30+DU30)*1000000000/('1a. Spredningsmodell input'!$C$36*1000)</f>
        <v>#VALUE!</v>
      </c>
      <c r="DW30" s="297" t="e">
        <f>$G30*(1-EXP(-'1a. Spredningsmodell input'!$B$43*Mellomregninger!DN30))*(1-EXP(-'1a. Spredningsmodell input'!$B$46*Mellomregninger!DN30))</f>
        <v>#VALUE!</v>
      </c>
      <c r="DX30" s="297"/>
      <c r="DY30" s="297"/>
      <c r="DZ30" s="262">
        <f t="shared" si="22"/>
        <v>100</v>
      </c>
      <c r="EA30" s="298" t="e">
        <f>($S30+$Q30*($O30+$I30*($D30*(1-Stoff!$P30))*(1-EXP(-($F30+Stoff!$L30*365)*DZ30)))*(1-EXP(-($N30+Stoff!$M30*365)*DZ30)))</f>
        <v>#VALUE!</v>
      </c>
      <c r="EB30" s="294" t="e">
        <f t="shared" si="10"/>
        <v>#VALUE!</v>
      </c>
      <c r="EC30" s="296" t="e">
        <f>(EB30/1000000)*('1a. Spredningsmodell input'!$B$49)*'1a. Spredningsmodell input'!$C$35</f>
        <v>#VALUE!</v>
      </c>
      <c r="ED30" s="294" t="e">
        <f t="shared" si="11"/>
        <v>#VALUE!</v>
      </c>
      <c r="EE30" s="290" t="e">
        <f>(ED30/1000000)*('1a. Spredningsmodell input'!$B$49)*'1a. Spredningsmodell input'!$C$35</f>
        <v>#VALUE!</v>
      </c>
      <c r="EF30" s="297" t="e">
        <f>($S30)*EXP(-(Stoff!$N30*365+$U30)*DZ30)+EC30</f>
        <v>#VALUE!</v>
      </c>
      <c r="EG30" s="297" t="e">
        <f>(Stoff!$P30*$S30+EE30)*EXP(-$T30*DZ30)</f>
        <v>#VALUE!</v>
      </c>
      <c r="EH30" s="297" t="e">
        <f>(EF30+EG30)*1000000000/('1a. Spredningsmodell input'!$C$36*1000)</f>
        <v>#VALUE!</v>
      </c>
      <c r="EI30" s="297" t="e">
        <f>$G30*(1-EXP(-'1a. Spredningsmodell input'!$B$43*Mellomregninger!DZ30))*(1-EXP(-'1a. Spredningsmodell input'!$B$46*Mellomregninger!DZ30))</f>
        <v>#VALUE!</v>
      </c>
      <c r="EJ30" s="297"/>
      <c r="EK30" s="297"/>
      <c r="EL30" s="262">
        <f t="shared" si="23"/>
        <v>1.0000000000000001E+25</v>
      </c>
      <c r="EM30" s="294" t="e">
        <f>($S30+$Q30*($O30+$I30*($D30*(1-Stoff!$P30))*(1-EXP(-($F30+Stoff!$L30*365)*EL30)))*(1-EXP(-($N30+Stoff!$M30*365)*EL30)))</f>
        <v>#VALUE!</v>
      </c>
      <c r="EN30" s="296" t="e">
        <f>($S30+$Q30*($O30+$I30*($D30*(1-Stoff!$P30))*(1-EXP(-($F30+Stoff!$L30*365)*(EL30-'1a. Spredningsmodell input'!$C$35))))*(1-EXP(-($N30+Stoff!$M30*365)*(EL30-'1a. Spredningsmodell input'!$C$35))))</f>
        <v>#VALUE!</v>
      </c>
      <c r="EO30" s="294" t="e">
        <f>IF(EL30&lt;'1a. Spredningsmodell input'!$C$35,EM30-($S30)*EXP(-(Stoff!$N30*365+$U30)*EL30),EM30-EN30)</f>
        <v>#VALUE!</v>
      </c>
      <c r="EP30" s="290" t="e">
        <f>((($D30*(Stoff!$P30))*(1-EXP(-'1a. Spredningsmodell input'!$B$43*EL30)))*(1-EXP(-'1a. Spredningsmodell input'!$B$46*EL30)))</f>
        <v>#VALUE!</v>
      </c>
      <c r="EQ30" s="294" t="e">
        <f>((($D30*(Stoff!$P30))*(1-EXP(-'1a. Spredningsmodell input'!$B$43*(EL30-'1a. Spredningsmodell input'!$C$35))))*(1-EXP(-'1a. Spredningsmodell input'!$B$46*(EL30-'1a. Spredningsmodell input'!$C$35))))</f>
        <v>#VALUE!</v>
      </c>
      <c r="ER30" s="290" t="e">
        <f>IF(EL30&lt;'1a. Spredningsmodell input'!$C$35,0,EP30-EQ30)</f>
        <v>#VALUE!</v>
      </c>
      <c r="ES30" s="297" t="e">
        <f>($S30)*EXP(-(Stoff!$N30*365+$U30)*EL30)+EO30</f>
        <v>#VALUE!</v>
      </c>
      <c r="ET30" s="297" t="e">
        <f>(Stoff!$P30*$S30+ER30)*EXP(-$T30*EL30)</f>
        <v>#VALUE!</v>
      </c>
      <c r="EU30" s="297" t="e">
        <f>(ES30+ET30)*1000000000/('1a. Spredningsmodell input'!$C$36*1000)</f>
        <v>#VALUE!</v>
      </c>
      <c r="EV30" s="262" t="e">
        <f t="shared" si="12"/>
        <v>#VALUE!</v>
      </c>
      <c r="EW30" s="299" t="e">
        <f t="shared" si="13"/>
        <v>#VALUE!</v>
      </c>
      <c r="EX30" s="262" t="e">
        <f t="shared" si="24"/>
        <v>#VALUE!</v>
      </c>
    </row>
    <row r="31" spans="1:154" x14ac:dyDescent="0.35">
      <c r="A31" s="50" t="s">
        <v>179</v>
      </c>
      <c r="B31" s="34" t="str">
        <f>IF(ISNUMBER('1c. Kons. porevann'!E31),1000*'1c. Kons. porevann'!E31,IF(ISNUMBER('1b. Kons. umettet jord'!E31),1000*'1b. Kons. umettet jord'!E31/C31,""))</f>
        <v/>
      </c>
      <c r="C31" s="244">
        <f>IF(Stoff!B31="uorganisk",Stoff!C31,Stoff!D31*'1a. Spredningsmodell input'!$C$11)</f>
        <v>1.41</v>
      </c>
      <c r="D31" s="34" t="str">
        <f>IF(ISNUMBER(B31),0.000001*('1b. Kons. umettet jord'!G31*'1a. Spredningsmodell input'!$C$12+B31*0.001*'1a. Spredningsmodell input'!$C$14)*1000*'1a. Spredningsmodell input'!$B$41*'1a. Spredningsmodell input'!$C$18,"")</f>
        <v/>
      </c>
      <c r="E31" s="283">
        <f>C31*'1a. Spredningsmodell input'!$C$12/'1a. Spredningsmodell input'!$C$14+1</f>
        <v>12.984999999999998</v>
      </c>
      <c r="F31" s="284">
        <f>'1a. Spredningsmodell input'!$B$43/E31</f>
        <v>0.11551790527531768</v>
      </c>
      <c r="G31" s="34" t="e">
        <f>Stoff!P31*Mellomregninger!D31</f>
        <v>#VALUE!</v>
      </c>
      <c r="H31" s="283" t="e">
        <f>(D31-G31)*(F31/(F31+Stoff!L31))</f>
        <v>#VALUE!</v>
      </c>
      <c r="I31" s="283">
        <f>F31/(F31+Stoff!L31)</f>
        <v>1</v>
      </c>
      <c r="J31" s="285" t="str">
        <f>IF(B31="","",IF(ISNUMBER('1d. Kons. mettet sone'!E31),'1d. Kons. mettet sone'!E31,IF(ISNUMBER('1e. Kons. grunnvann'!E31),'1e. Kons. grunnvann'!E31*Mellomregninger!K31,0)))</f>
        <v/>
      </c>
      <c r="K31" s="286">
        <f>IF(Stoff!B31="uorganisk",Stoff!C31,Stoff!D31*'1a. Spredningsmodell input'!$C$24)</f>
        <v>0.14100000000000001</v>
      </c>
      <c r="L31" s="27" t="e">
        <f>IF(ISNUMBER('1e. Kons. grunnvann'!E31),1000*'1e. Kons. grunnvann'!E31,1000*J31/K31)</f>
        <v>#VALUE!</v>
      </c>
      <c r="M31" s="34">
        <f>K31*'1a. Spredningsmodell input'!$C$25/'1a. Spredningsmodell input'!$C$26+1</f>
        <v>1.5992500000000001</v>
      </c>
      <c r="N31" s="284">
        <f>'1a. Spredningsmodell input'!$C$26/M31</f>
        <v>0.25011724245740191</v>
      </c>
      <c r="O31" s="287" t="e">
        <f>0.000000001*(J31*'1a. Spredningsmodell input'!$C$25+L31)*1000*'1a. Spredningsmodell input'!$B$45</f>
        <v>#VALUE!</v>
      </c>
      <c r="P31" s="287" t="e">
        <f>O31*Stoff!P31</f>
        <v>#VALUE!</v>
      </c>
      <c r="Q31" s="287">
        <f>N31/(N31+Stoff!M31)</f>
        <v>1</v>
      </c>
      <c r="R31" s="288">
        <f>IF(ISNUMBER('1f. Kons. resipient'!E31),'1f. Kons. resipient'!E31,0)</f>
        <v>0</v>
      </c>
      <c r="S31" s="288">
        <f>0.000000001*'1a. Spredningsmodell input'!$C$36*R31*1000</f>
        <v>0</v>
      </c>
      <c r="T31" s="288">
        <f>1/'1a. Spredningsmodell input'!$C$35</f>
        <v>1</v>
      </c>
      <c r="U31" s="288">
        <f>1/'1a. Spredningsmodell input'!$C$35</f>
        <v>1</v>
      </c>
      <c r="V31" s="300" t="e">
        <f>(1/($N31+Stoff!$L31))*(LN(($D31*$I31/($D31*$I31+$J31))*($F31+Stoff!$L31+$N31+Stoff!$M31)/($N31+Stoff!$M31)))</f>
        <v>#VALUE!</v>
      </c>
      <c r="W31" s="290" t="e">
        <f>($D31-Stoff!$P31*$D31)*EXP(-($F31+Stoff!$L31*365)*V31)</f>
        <v>#VALUE!</v>
      </c>
      <c r="X31" s="291" t="e">
        <f>(Stoff!$P31*$D31)*EXP(-'1a. Spredningsmodell input'!$B$43*V31)</f>
        <v>#VALUE!</v>
      </c>
      <c r="Y31" s="290" t="e">
        <f>($D31-Stoff!$P31*$D31-W31)*($F31/($F31+Stoff!$L31*365))</f>
        <v>#VALUE!</v>
      </c>
      <c r="Z31" s="290" t="e">
        <f>(Stoff!$P31*$D31)-X31</f>
        <v>#VALUE!</v>
      </c>
      <c r="AA31" s="290" t="e">
        <f>($O31+Y31)*EXP(-($N31+Stoff!$M31*365)*V31)</f>
        <v>#VALUE!</v>
      </c>
      <c r="AB31" s="290" t="e">
        <f>(Stoff!$P31*$O31+Z31)*EXP(-('1a. Spredningsmodell input'!$B$46)*V31)</f>
        <v>#VALUE!</v>
      </c>
      <c r="AC31" s="292" t="e">
        <f>((AA31+AB31)*1000000000)/('1a. Spredningsmodell input'!$B$45*1000)</f>
        <v>#VALUE!</v>
      </c>
      <c r="AD31" s="294" t="e">
        <f>0.001*AC31/('1a. Spredningsmodell input'!$C$25+'1a. Spredningsmodell input'!$C$26/Mellomregninger!$K31)</f>
        <v>#VALUE!</v>
      </c>
      <c r="AE31" s="294" t="e">
        <f>1000*AD31/$K31+AB31*1000000000/('1a. Spredningsmodell input'!$B$45*1000)</f>
        <v>#VALUE!</v>
      </c>
      <c r="AF31" s="294" t="e">
        <f t="shared" si="0"/>
        <v>#VALUE!</v>
      </c>
      <c r="AG31" s="294" t="e">
        <f>AB31*1000000000/('1a. Spredningsmodell input'!$B$45*1000)</f>
        <v>#VALUE!</v>
      </c>
      <c r="AH31" s="300" t="e">
        <f>(1/('1a. Spredningsmodell input'!$B$46))*(LN(($D31*Stoff!$P31/($D31*Stoff!$P31+$P31*Stoff!$P31))*('1a. Spredningsmodell input'!$B$43+'1a. Spredningsmodell input'!$B$46)/('1a. Spredningsmodell input'!$B$46)))</f>
        <v>#VALUE!</v>
      </c>
      <c r="AI31" s="290" t="e">
        <f>($D31-Stoff!$P31*$D31)*EXP(-($F31+Stoff!$L31*365)*AH31)</f>
        <v>#VALUE!</v>
      </c>
      <c r="AJ31" s="291" t="e">
        <f>(Stoff!$P31*$D31)*EXP(-'1a. Spredningsmodell input'!$B$43*AH31)</f>
        <v>#VALUE!</v>
      </c>
      <c r="AK31" s="290" t="e">
        <f>($D31-Stoff!$P31*$D31-AI31)*($F31/($F31+Stoff!$L31*365))</f>
        <v>#VALUE!</v>
      </c>
      <c r="AL31" s="290" t="e">
        <f>(Stoff!$P31*$D31)-AJ31</f>
        <v>#VALUE!</v>
      </c>
      <c r="AM31" s="290" t="e">
        <f>($O31+AK31)*EXP(-($N31+Stoff!$M31*365)*AH31)</f>
        <v>#VALUE!</v>
      </c>
      <c r="AN31" s="290" t="e">
        <f>(Stoff!$P31*$O31+AL31)*EXP(-('1a. Spredningsmodell input'!$B$46)*AH31)</f>
        <v>#VALUE!</v>
      </c>
      <c r="AO31" s="292" t="e">
        <f>((AM31+AN31)*1000000000)/('1a. Spredningsmodell input'!$B$45*1000)</f>
        <v>#VALUE!</v>
      </c>
      <c r="AP31" s="294" t="e">
        <f>0.001*AO31/('1a. Spredningsmodell input'!$C$25+'1a. Spredningsmodell input'!$C$26/Mellomregninger!$K31)</f>
        <v>#VALUE!</v>
      </c>
      <c r="AQ31" s="294" t="e">
        <f>1000*AP31/$K31+AN31*1000000000/('1a. Spredningsmodell input'!$B$45*1000)</f>
        <v>#VALUE!</v>
      </c>
      <c r="AR31" s="294" t="e">
        <f t="shared" si="1"/>
        <v>#VALUE!</v>
      </c>
      <c r="AS31" s="294" t="e">
        <f>AN31*1000000000/('1a. Spredningsmodell input'!$B$45*1000)</f>
        <v>#VALUE!</v>
      </c>
      <c r="AT31" s="295">
        <f t="shared" si="14"/>
        <v>5</v>
      </c>
      <c r="AU31" s="290" t="e">
        <f>($D31-Stoff!$P31*$D31)*EXP(-($F31+Stoff!$L31*365)*AT31)</f>
        <v>#VALUE!</v>
      </c>
      <c r="AV31" s="291" t="e">
        <f>(Stoff!$P31*$D31)*EXP(-'1a. Spredningsmodell input'!$B$43*AT31)</f>
        <v>#VALUE!</v>
      </c>
      <c r="AW31" s="290" t="e">
        <f>($D31-Stoff!$P31*$D31-AU31)*($F31/($F31+Stoff!$L31*365))</f>
        <v>#VALUE!</v>
      </c>
      <c r="AX31" s="290" t="e">
        <f>(Stoff!$P31*$D31)-AV31</f>
        <v>#VALUE!</v>
      </c>
      <c r="AY31" s="290" t="e">
        <f>($O31+AW31)*EXP(-($N31+Stoff!$M31*365)*AT31)</f>
        <v>#VALUE!</v>
      </c>
      <c r="AZ31" s="290" t="e">
        <f>(Stoff!$P31*$O31+AX31)*EXP(-('1a. Spredningsmodell input'!$B$46)*AT31)</f>
        <v>#VALUE!</v>
      </c>
      <c r="BA31" s="292" t="e">
        <f>((AY31+AZ31)*1000000000)/('1a. Spredningsmodell input'!$B$45*1000)</f>
        <v>#VALUE!</v>
      </c>
      <c r="BB31" s="294" t="e">
        <f>0.001*BA31/('1a. Spredningsmodell input'!$C$25+'1a. Spredningsmodell input'!$C$26/Mellomregninger!$K31)</f>
        <v>#VALUE!</v>
      </c>
      <c r="BC31" s="294" t="e">
        <f>1000*BB31/$K31+AZ31*1000000000/('1a. Spredningsmodell input'!$B$45*1000)</f>
        <v>#VALUE!</v>
      </c>
      <c r="BD31" s="294" t="e">
        <f t="shared" si="2"/>
        <v>#VALUE!</v>
      </c>
      <c r="BE31" s="294" t="e">
        <f>AZ31*1000000000/('1a. Spredningsmodell input'!$B$45*1000)</f>
        <v>#VALUE!</v>
      </c>
      <c r="BF31" s="295">
        <f t="shared" si="15"/>
        <v>20</v>
      </c>
      <c r="BG31" s="290" t="e">
        <f>($D31-Stoff!$P31*$D31)*EXP(-($F31+Stoff!$L31*365)*BF31)</f>
        <v>#VALUE!</v>
      </c>
      <c r="BH31" s="291" t="e">
        <f>(Stoff!$P31*$D31)*EXP(-'1a. Spredningsmodell input'!$B$43*BF31)</f>
        <v>#VALUE!</v>
      </c>
      <c r="BI31" s="290" t="e">
        <f>($D31-Stoff!$P31*$D31-BG31)*($F31/($F31+Stoff!$L31*365))</f>
        <v>#VALUE!</v>
      </c>
      <c r="BJ31" s="290" t="e">
        <f>(Stoff!$P31*$D31)-BH31</f>
        <v>#VALUE!</v>
      </c>
      <c r="BK31" s="290" t="e">
        <f>($O31+BI31)*EXP(-($N31+Stoff!$M31*365)*BF31)</f>
        <v>#VALUE!</v>
      </c>
      <c r="BL31" s="290" t="e">
        <f>(Stoff!$P31*$O31+BJ31)*EXP(-('1a. Spredningsmodell input'!$B$46)*BF31)</f>
        <v>#VALUE!</v>
      </c>
      <c r="BM31" s="292" t="e">
        <f>((BK31+BL31)*1000000000)/('1a. Spredningsmodell input'!$B$45*1000)</f>
        <v>#VALUE!</v>
      </c>
      <c r="BN31" s="294" t="e">
        <f>0.001*BM31/('1a. Spredningsmodell input'!$C$25+'1a. Spredningsmodell input'!$C$26/Mellomregninger!$K31)</f>
        <v>#VALUE!</v>
      </c>
      <c r="BO31" s="294" t="e">
        <f>1000*BN31/$K31+BL31*1000000000/('1a. Spredningsmodell input'!$B$45*1000)</f>
        <v>#VALUE!</v>
      </c>
      <c r="BP31" s="294" t="e">
        <f t="shared" si="3"/>
        <v>#VALUE!</v>
      </c>
      <c r="BQ31" s="294" t="e">
        <f>BL31*1000000000/('1a. Spredningsmodell input'!$B$45*1000)</f>
        <v>#VALUE!</v>
      </c>
      <c r="BR31" s="295">
        <f t="shared" si="16"/>
        <v>100</v>
      </c>
      <c r="BS31" s="290" t="e">
        <f>($D31-Stoff!$P31*$D31)*EXP(-($F31+Stoff!$L31*365)*BR31)</f>
        <v>#VALUE!</v>
      </c>
      <c r="BT31" s="291" t="e">
        <f>(Stoff!$P31*$D31)*EXP(-'1a. Spredningsmodell input'!$B$43*BR31)</f>
        <v>#VALUE!</v>
      </c>
      <c r="BU31" s="290" t="e">
        <f>($D31-Stoff!$P31*$D31-BS31)*($F31/($F31+Stoff!$L31*365))</f>
        <v>#VALUE!</v>
      </c>
      <c r="BV31" s="290" t="e">
        <f>(Stoff!$P31*$D31)-BT31</f>
        <v>#VALUE!</v>
      </c>
      <c r="BW31" s="290" t="e">
        <f>($O31+BU31)*EXP(-($N31+Stoff!$M31*365)*BR31)</f>
        <v>#VALUE!</v>
      </c>
      <c r="BX31" s="290" t="e">
        <f>(Stoff!$P31*$O31+BV31)*EXP(-('1a. Spredningsmodell input'!$B$46)*BR31)</f>
        <v>#VALUE!</v>
      </c>
      <c r="BY31" s="292" t="e">
        <f>((BW31+BX31)*1000000000)/('1a. Spredningsmodell input'!$B$45*1000)</f>
        <v>#VALUE!</v>
      </c>
      <c r="BZ31" s="294" t="e">
        <f>0.001*BY31/('1a. Spredningsmodell input'!$C$25+'1a. Spredningsmodell input'!$C$26/Mellomregninger!$K31)</f>
        <v>#VALUE!</v>
      </c>
      <c r="CA31" s="294" t="e">
        <f>1000*BZ31/$K31+BX31*1000000000/('1a. Spredningsmodell input'!$B$45*1000)</f>
        <v>#VALUE!</v>
      </c>
      <c r="CB31" s="294" t="e">
        <f t="shared" si="4"/>
        <v>#VALUE!</v>
      </c>
      <c r="CC31" s="294" t="e">
        <f>BX31*1000000000/('1a. Spredningsmodell input'!$B$45*1000)</f>
        <v>#VALUE!</v>
      </c>
      <c r="CD31" s="294" t="e">
        <f>V31+'1a. Spredningsmodell input'!$C$35</f>
        <v>#VALUE!</v>
      </c>
      <c r="CE31" s="294" t="e">
        <f>($S31+$Q31*($O31+$I31*($D31*(1-Stoff!$P31))*(1-EXP(-($F31+Stoff!$L31*365)*CD31)))*(1-EXP(-($N31+Stoff!$M31*365)*CD31)))</f>
        <v>#VALUE!</v>
      </c>
      <c r="CF31" s="294" t="e">
        <f t="shared" si="5"/>
        <v>#VALUE!</v>
      </c>
      <c r="CG31" s="296" t="e">
        <f>(CF31/1000000)*'1a. Spredningsmodell input'!$B$49*'1a. Spredningsmodell input'!$C$35</f>
        <v>#VALUE!</v>
      </c>
      <c r="CH31" s="294" t="e">
        <f t="shared" si="17"/>
        <v>#VALUE!</v>
      </c>
      <c r="CI31" s="290" t="e">
        <f>(CH31/1000000)*'1a. Spredningsmodell input'!$B$49*'1a. Spredningsmodell input'!$C$35</f>
        <v>#VALUE!</v>
      </c>
      <c r="CJ31" s="297" t="e">
        <f>($S31)*EXP(-(Stoff!$N31*365+$U31)*CD31)+CG31</f>
        <v>#VALUE!</v>
      </c>
      <c r="CK31" s="297" t="e">
        <f>(Stoff!$P31*$S31+CI31)*EXP(-$T31*CD31)</f>
        <v>#VALUE!</v>
      </c>
      <c r="CL31" s="297" t="e">
        <f>(CJ31+CK31)*1000000000/('1a. Spredningsmodell input'!$C$36*1000)</f>
        <v>#VALUE!</v>
      </c>
      <c r="CM31" s="297" t="e">
        <f>$G31*(1-EXP(-'1a. Spredningsmodell input'!$B$43*Mellomregninger!CD31))*(1-EXP(-'1a. Spredningsmodell input'!$B$46*Mellomregninger!CD31))</f>
        <v>#VALUE!</v>
      </c>
      <c r="CN31" s="297"/>
      <c r="CO31" s="297"/>
      <c r="CP31" s="290">
        <f>IF(ISNUMBER(AH31),AH31+'1a. Spredningsmodell input'!$C$35,'1a. Spredningsmodell input'!$C$35)</f>
        <v>1</v>
      </c>
      <c r="CQ31" s="294" t="e">
        <f>($S31+$Q31*($O31+$I31*($D31*(1-Stoff!$P31))*(1-EXP(-($F31+Stoff!$L31*365)*CP31)))*(1-EXP(-($N31+Stoff!$M31*365)*CP31)))</f>
        <v>#VALUE!</v>
      </c>
      <c r="CR31" s="294" t="e">
        <f t="shared" si="6"/>
        <v>#VALUE!</v>
      </c>
      <c r="CS31" s="296" t="e">
        <f>(CR31/1000000)*('1a. Spredningsmodell input'!$B$49*'1a. Spredningsmodell input'!$C$35)</f>
        <v>#VALUE!</v>
      </c>
      <c r="CT31" s="294" t="e">
        <f t="shared" si="7"/>
        <v>#VALUE!</v>
      </c>
      <c r="CU31" s="290" t="e">
        <f>(CT31/1000000)*('1a. Spredningsmodell input'!$B$49)*'1a. Spredningsmodell input'!$C$35</f>
        <v>#VALUE!</v>
      </c>
      <c r="CV31" s="297" t="e">
        <f>($S31)*EXP(-(Stoff!$N31*365+$U31)*CP31)+CS31</f>
        <v>#VALUE!</v>
      </c>
      <c r="CW31" s="297" t="e">
        <f>(Stoff!$P31*$S31+CU31)*EXP(-$T31*CP31)</f>
        <v>#VALUE!</v>
      </c>
      <c r="CX31" s="297">
        <f>IF(ISERROR(CV31),0,(CV31+CW31)*1000000000/('1a. Spredningsmodell input'!$C$36*1000))</f>
        <v>0</v>
      </c>
      <c r="CY31" s="297" t="e">
        <f>$G31*(1-EXP(-'1a. Spredningsmodell input'!$B$43*Mellomregninger!CP31))*(1-EXP(-'1a. Spredningsmodell input'!$B$46*Mellomregninger!CP31))</f>
        <v>#VALUE!</v>
      </c>
      <c r="CZ31" s="297"/>
      <c r="DA31" s="297"/>
      <c r="DB31" s="262">
        <f t="shared" si="18"/>
        <v>5</v>
      </c>
      <c r="DC31" s="298" t="e">
        <f>($S31+$Q31*($O31+$I31*($D31*(1-Stoff!$P31))*(1-EXP(-($F31+Stoff!$L31*365)*DB31)))*(1-EXP(-($N31+Stoff!$M31*365)*DB31)))</f>
        <v>#VALUE!</v>
      </c>
      <c r="DD31" s="294" t="e">
        <f t="shared" si="8"/>
        <v>#VALUE!</v>
      </c>
      <c r="DE31" s="296" t="e">
        <f>(DD31/1000000)*('1a. Spredningsmodell input'!$B$49)*'1a. Spredningsmodell input'!$C$35</f>
        <v>#VALUE!</v>
      </c>
      <c r="DF31" s="294" t="e">
        <f t="shared" si="19"/>
        <v>#VALUE!</v>
      </c>
      <c r="DG31" s="290" t="e">
        <f>(DF31/1000000)*('1a. Spredningsmodell input'!$B$49)*'1a. Spredningsmodell input'!$C$35</f>
        <v>#VALUE!</v>
      </c>
      <c r="DH31" s="297" t="e">
        <f>($S31)*EXP(-(Stoff!$N31*365+$U31)*DB31)+DE31</f>
        <v>#VALUE!</v>
      </c>
      <c r="DI31" s="297" t="e">
        <f>(Stoff!$P31*$S31+DG31)*EXP(-$T31*DB31)</f>
        <v>#VALUE!</v>
      </c>
      <c r="DJ31" s="297" t="e">
        <f>(DH31+DI31)*1000000000/('1a. Spredningsmodell input'!$C$36*1000)</f>
        <v>#VALUE!</v>
      </c>
      <c r="DK31" s="297" t="e">
        <f>$G31*(1-EXP(-'1a. Spredningsmodell input'!$B$43*Mellomregninger!DB31))*(1-EXP(-'1a. Spredningsmodell input'!$B$46*Mellomregninger!DB31))</f>
        <v>#VALUE!</v>
      </c>
      <c r="DL31" s="297"/>
      <c r="DM31" s="297"/>
      <c r="DN31" s="262">
        <f t="shared" si="20"/>
        <v>20</v>
      </c>
      <c r="DO31" s="298" t="e">
        <f>($S31+$Q31*($O31+$I31*($D31*(1-Stoff!$P31))*(1-EXP(-($F31+Stoff!$L31*365)*DN31)))*(1-EXP(-($N31+Stoff!$M31*365)*DN31)))</f>
        <v>#VALUE!</v>
      </c>
      <c r="DP31" s="294" t="e">
        <f t="shared" si="21"/>
        <v>#VALUE!</v>
      </c>
      <c r="DQ31" s="296" t="e">
        <f>(DP31/1000000)*('1a. Spredningsmodell input'!$B$49)*'1a. Spredningsmodell input'!$C$35</f>
        <v>#VALUE!</v>
      </c>
      <c r="DR31" s="294" t="e">
        <f t="shared" si="9"/>
        <v>#VALUE!</v>
      </c>
      <c r="DS31" s="290" t="e">
        <f>(DR31/1000000)*('1a. Spredningsmodell input'!$B$49)*'1a. Spredningsmodell input'!$C$35</f>
        <v>#VALUE!</v>
      </c>
      <c r="DT31" s="297" t="e">
        <f>($S31)*EXP(-(Stoff!$N31*365+$U31)*DN31)+DQ31</f>
        <v>#VALUE!</v>
      </c>
      <c r="DU31" s="297" t="e">
        <f>(Stoff!$P31*$S31+DS31)*EXP(-$T31*DN31)</f>
        <v>#VALUE!</v>
      </c>
      <c r="DV31" s="297" t="e">
        <f>(DT31+DU31)*1000000000/('1a. Spredningsmodell input'!$C$36*1000)</f>
        <v>#VALUE!</v>
      </c>
      <c r="DW31" s="297" t="e">
        <f>$G31*(1-EXP(-'1a. Spredningsmodell input'!$B$43*Mellomregninger!DN31))*(1-EXP(-'1a. Spredningsmodell input'!$B$46*Mellomregninger!DN31))</f>
        <v>#VALUE!</v>
      </c>
      <c r="DX31" s="297"/>
      <c r="DY31" s="297"/>
      <c r="DZ31" s="262">
        <f t="shared" si="22"/>
        <v>100</v>
      </c>
      <c r="EA31" s="298" t="e">
        <f>($S31+$Q31*($O31+$I31*($D31*(1-Stoff!$P31))*(1-EXP(-($F31+Stoff!$L31*365)*DZ31)))*(1-EXP(-($N31+Stoff!$M31*365)*DZ31)))</f>
        <v>#VALUE!</v>
      </c>
      <c r="EB31" s="294" t="e">
        <f t="shared" si="10"/>
        <v>#VALUE!</v>
      </c>
      <c r="EC31" s="296" t="e">
        <f>(EB31/1000000)*('1a. Spredningsmodell input'!$B$49)*'1a. Spredningsmodell input'!$C$35</f>
        <v>#VALUE!</v>
      </c>
      <c r="ED31" s="294" t="e">
        <f t="shared" si="11"/>
        <v>#VALUE!</v>
      </c>
      <c r="EE31" s="290" t="e">
        <f>(ED31/1000000)*('1a. Spredningsmodell input'!$B$49)*'1a. Spredningsmodell input'!$C$35</f>
        <v>#VALUE!</v>
      </c>
      <c r="EF31" s="297" t="e">
        <f>($S31)*EXP(-(Stoff!$N31*365+$U31)*DZ31)+EC31</f>
        <v>#VALUE!</v>
      </c>
      <c r="EG31" s="297" t="e">
        <f>(Stoff!$P31*$S31+EE31)*EXP(-$T31*DZ31)</f>
        <v>#VALUE!</v>
      </c>
      <c r="EH31" s="297" t="e">
        <f>(EF31+EG31)*1000000000/('1a. Spredningsmodell input'!$C$36*1000)</f>
        <v>#VALUE!</v>
      </c>
      <c r="EI31" s="297" t="e">
        <f>$G31*(1-EXP(-'1a. Spredningsmodell input'!$B$43*Mellomregninger!DZ31))*(1-EXP(-'1a. Spredningsmodell input'!$B$46*Mellomregninger!DZ31))</f>
        <v>#VALUE!</v>
      </c>
      <c r="EJ31" s="297"/>
      <c r="EK31" s="297"/>
      <c r="EL31" s="262">
        <f t="shared" si="23"/>
        <v>1.0000000000000001E+25</v>
      </c>
      <c r="EM31" s="294" t="e">
        <f>($S31+$Q31*($O31+$I31*($D31*(1-Stoff!$P31))*(1-EXP(-($F31+Stoff!$L31*365)*EL31)))*(1-EXP(-($N31+Stoff!$M31*365)*EL31)))</f>
        <v>#VALUE!</v>
      </c>
      <c r="EN31" s="296" t="e">
        <f>($S31+$Q31*($O31+$I31*($D31*(1-Stoff!$P31))*(1-EXP(-($F31+Stoff!$L31*365)*(EL31-'1a. Spredningsmodell input'!$C$35))))*(1-EXP(-($N31+Stoff!$M31*365)*(EL31-'1a. Spredningsmodell input'!$C$35))))</f>
        <v>#VALUE!</v>
      </c>
      <c r="EO31" s="294" t="e">
        <f>IF(EL31&lt;'1a. Spredningsmodell input'!$C$35,EM31-($S31)*EXP(-(Stoff!$N31*365+$U31)*EL31),EM31-EN31)</f>
        <v>#VALUE!</v>
      </c>
      <c r="EP31" s="290" t="e">
        <f>((($D31*(Stoff!$P31))*(1-EXP(-'1a. Spredningsmodell input'!$B$43*EL31)))*(1-EXP(-'1a. Spredningsmodell input'!$B$46*EL31)))</f>
        <v>#VALUE!</v>
      </c>
      <c r="EQ31" s="294" t="e">
        <f>((($D31*(Stoff!$P31))*(1-EXP(-'1a. Spredningsmodell input'!$B$43*(EL31-'1a. Spredningsmodell input'!$C$35))))*(1-EXP(-'1a. Spredningsmodell input'!$B$46*(EL31-'1a. Spredningsmodell input'!$C$35))))</f>
        <v>#VALUE!</v>
      </c>
      <c r="ER31" s="290" t="e">
        <f>IF(EL31&lt;'1a. Spredningsmodell input'!$C$35,0,EP31-EQ31)</f>
        <v>#VALUE!</v>
      </c>
      <c r="ES31" s="297" t="e">
        <f>($S31)*EXP(-(Stoff!$N31*365+$U31)*EL31)+EO31</f>
        <v>#VALUE!</v>
      </c>
      <c r="ET31" s="297" t="e">
        <f>(Stoff!$P31*$S31+ER31)*EXP(-$T31*EL31)</f>
        <v>#VALUE!</v>
      </c>
      <c r="EU31" s="297" t="e">
        <f>(ES31+ET31)*1000000000/('1a. Spredningsmodell input'!$C$36*1000)</f>
        <v>#VALUE!</v>
      </c>
      <c r="EV31" s="262" t="e">
        <f t="shared" si="12"/>
        <v>#VALUE!</v>
      </c>
      <c r="EW31" s="299" t="e">
        <f t="shared" si="13"/>
        <v>#VALUE!</v>
      </c>
      <c r="EX31" s="262" t="e">
        <f t="shared" si="24"/>
        <v>#VALUE!</v>
      </c>
    </row>
    <row r="32" spans="1:154" x14ac:dyDescent="0.35">
      <c r="A32" s="50" t="s">
        <v>178</v>
      </c>
      <c r="B32" s="34" t="str">
        <f>IF(ISNUMBER('1c. Kons. porevann'!E32),1000*'1c. Kons. porevann'!E32,IF(ISNUMBER('1b. Kons. umettet jord'!E32),1000*'1b. Kons. umettet jord'!E32/C32,""))</f>
        <v/>
      </c>
      <c r="C32" s="244">
        <f>IF(Stoff!B32="uorganisk",Stoff!C32,Stoff!D32*'1a. Spredningsmodell input'!$C$11)</f>
        <v>1.1599999999999999</v>
      </c>
      <c r="D32" s="34" t="str">
        <f>IF(ISNUMBER(B32),0.000001*('1b. Kons. umettet jord'!G32*'1a. Spredningsmodell input'!$C$12+B32*0.001*'1a. Spredningsmodell input'!$C$14)*1000*'1a. Spredningsmodell input'!$B$41*'1a. Spredningsmodell input'!$C$18,"")</f>
        <v/>
      </c>
      <c r="E32" s="283">
        <f>C32*'1a. Spredningsmodell input'!$C$12/'1a. Spredningsmodell input'!$C$14+1</f>
        <v>10.859999999999998</v>
      </c>
      <c r="F32" s="284">
        <f>'1a. Spredningsmodell input'!$B$43/E32</f>
        <v>0.13812154696132597</v>
      </c>
      <c r="G32" s="34" t="e">
        <f>Stoff!P32*Mellomregninger!D32</f>
        <v>#VALUE!</v>
      </c>
      <c r="H32" s="283" t="e">
        <f>(D32-G32)*(F32/(F32+Stoff!L32))</f>
        <v>#VALUE!</v>
      </c>
      <c r="I32" s="283">
        <f>F32/(F32+Stoff!L32)</f>
        <v>1</v>
      </c>
      <c r="J32" s="285" t="str">
        <f>IF(B32="","",IF(ISNUMBER('1d. Kons. mettet sone'!E32),'1d. Kons. mettet sone'!E32,IF(ISNUMBER('1e. Kons. grunnvann'!E32),'1e. Kons. grunnvann'!E32*Mellomregninger!K32,0)))</f>
        <v/>
      </c>
      <c r="K32" s="286">
        <f>IF(Stoff!B32="uorganisk",Stoff!C32,Stoff!D32*'1a. Spredningsmodell input'!$C$24)</f>
        <v>0.11600000000000001</v>
      </c>
      <c r="L32" s="27" t="e">
        <f>IF(ISNUMBER('1e. Kons. grunnvann'!E32),1000*'1e. Kons. grunnvann'!E32,1000*J32/K32)</f>
        <v>#VALUE!</v>
      </c>
      <c r="M32" s="34">
        <f>K32*'1a. Spredningsmodell input'!$C$25/'1a. Spredningsmodell input'!$C$26+1</f>
        <v>1.4929999999999999</v>
      </c>
      <c r="N32" s="284">
        <f>'1a. Spredningsmodell input'!$C$26/M32</f>
        <v>0.26791694574681851</v>
      </c>
      <c r="O32" s="287" t="e">
        <f>0.000000001*(J32*'1a. Spredningsmodell input'!$C$25+L32)*1000*'1a. Spredningsmodell input'!$B$45</f>
        <v>#VALUE!</v>
      </c>
      <c r="P32" s="287" t="e">
        <f>O32*Stoff!P32</f>
        <v>#VALUE!</v>
      </c>
      <c r="Q32" s="287">
        <f>N32/(N32+Stoff!M32)</f>
        <v>1</v>
      </c>
      <c r="R32" s="288">
        <f>IF(ISNUMBER('1f. Kons. resipient'!E32),'1f. Kons. resipient'!E32,0)</f>
        <v>0</v>
      </c>
      <c r="S32" s="288">
        <f>0.000000001*'1a. Spredningsmodell input'!$C$36*R32*1000</f>
        <v>0</v>
      </c>
      <c r="T32" s="288">
        <f>1/'1a. Spredningsmodell input'!$C$35</f>
        <v>1</v>
      </c>
      <c r="U32" s="288">
        <f>1/'1a. Spredningsmodell input'!$C$35</f>
        <v>1</v>
      </c>
      <c r="V32" s="300" t="e">
        <f>(1/($N32+Stoff!$L32))*(LN(($D32*$I32/($D32*$I32+$J32))*($F32+Stoff!$L32+$N32+Stoff!$M32)/($N32+Stoff!$M32)))</f>
        <v>#VALUE!</v>
      </c>
      <c r="W32" s="290" t="e">
        <f>($D32-Stoff!$P32*$D32)*EXP(-($F32+Stoff!$L32*365)*V32)</f>
        <v>#VALUE!</v>
      </c>
      <c r="X32" s="291" t="e">
        <f>(Stoff!$P32*$D32)*EXP(-'1a. Spredningsmodell input'!$B$43*V32)</f>
        <v>#VALUE!</v>
      </c>
      <c r="Y32" s="290" t="e">
        <f>($D32-Stoff!$P32*$D32-W32)*($F32/($F32+Stoff!$L32*365))</f>
        <v>#VALUE!</v>
      </c>
      <c r="Z32" s="290" t="e">
        <f>(Stoff!$P32*$D32)-X32</f>
        <v>#VALUE!</v>
      </c>
      <c r="AA32" s="290" t="e">
        <f>($O32+Y32)*EXP(-($N32+Stoff!$M32*365)*V32)</f>
        <v>#VALUE!</v>
      </c>
      <c r="AB32" s="290" t="e">
        <f>(Stoff!$P32*$O32+Z32)*EXP(-('1a. Spredningsmodell input'!$B$46)*V32)</f>
        <v>#VALUE!</v>
      </c>
      <c r="AC32" s="292" t="e">
        <f>((AA32+AB32)*1000000000)/('1a. Spredningsmodell input'!$B$45*1000)</f>
        <v>#VALUE!</v>
      </c>
      <c r="AD32" s="294" t="e">
        <f>0.001*AC32/('1a. Spredningsmodell input'!$C$25+'1a. Spredningsmodell input'!$C$26/Mellomregninger!$K32)</f>
        <v>#VALUE!</v>
      </c>
      <c r="AE32" s="294" t="e">
        <f>1000*AD32/$K32+AB32*1000000000/('1a. Spredningsmodell input'!$B$45*1000)</f>
        <v>#VALUE!</v>
      </c>
      <c r="AF32" s="294" t="e">
        <f t="shared" si="0"/>
        <v>#VALUE!</v>
      </c>
      <c r="AG32" s="294" t="e">
        <f>AB32*1000000000/('1a. Spredningsmodell input'!$B$45*1000)</f>
        <v>#VALUE!</v>
      </c>
      <c r="AH32" s="300" t="e">
        <f>(1/('1a. Spredningsmodell input'!$B$46))*(LN(($D32*Stoff!$P32/($D32*Stoff!$P32+$P32*Stoff!$P32))*('1a. Spredningsmodell input'!$B$43+'1a. Spredningsmodell input'!$B$46)/('1a. Spredningsmodell input'!$B$46)))</f>
        <v>#VALUE!</v>
      </c>
      <c r="AI32" s="290" t="e">
        <f>($D32-Stoff!$P32*$D32)*EXP(-($F32+Stoff!$L32*365)*AH32)</f>
        <v>#VALUE!</v>
      </c>
      <c r="AJ32" s="291" t="e">
        <f>(Stoff!$P32*$D32)*EXP(-'1a. Spredningsmodell input'!$B$43*AH32)</f>
        <v>#VALUE!</v>
      </c>
      <c r="AK32" s="290" t="e">
        <f>($D32-Stoff!$P32*$D32-AI32)*($F32/($F32+Stoff!$L32*365))</f>
        <v>#VALUE!</v>
      </c>
      <c r="AL32" s="290" t="e">
        <f>(Stoff!$P32*$D32)-AJ32</f>
        <v>#VALUE!</v>
      </c>
      <c r="AM32" s="290" t="e">
        <f>($O32+AK32)*EXP(-($N32+Stoff!$M32*365)*AH32)</f>
        <v>#VALUE!</v>
      </c>
      <c r="AN32" s="290" t="e">
        <f>(Stoff!$P32*$O32+AL32)*EXP(-('1a. Spredningsmodell input'!$B$46)*AH32)</f>
        <v>#VALUE!</v>
      </c>
      <c r="AO32" s="292" t="e">
        <f>((AM32+AN32)*1000000000)/('1a. Spredningsmodell input'!$B$45*1000)</f>
        <v>#VALUE!</v>
      </c>
      <c r="AP32" s="294" t="e">
        <f>0.001*AO32/('1a. Spredningsmodell input'!$C$25+'1a. Spredningsmodell input'!$C$26/Mellomregninger!$K32)</f>
        <v>#VALUE!</v>
      </c>
      <c r="AQ32" s="294" t="e">
        <f>1000*AP32/$K32+AN32*1000000000/('1a. Spredningsmodell input'!$B$45*1000)</f>
        <v>#VALUE!</v>
      </c>
      <c r="AR32" s="294" t="e">
        <f t="shared" si="1"/>
        <v>#VALUE!</v>
      </c>
      <c r="AS32" s="294" t="e">
        <f>AN32*1000000000/('1a. Spredningsmodell input'!$B$45*1000)</f>
        <v>#VALUE!</v>
      </c>
      <c r="AT32" s="295">
        <f t="shared" si="14"/>
        <v>5</v>
      </c>
      <c r="AU32" s="290" t="e">
        <f>($D32-Stoff!$P32*$D32)*EXP(-($F32+Stoff!$L32*365)*AT32)</f>
        <v>#VALUE!</v>
      </c>
      <c r="AV32" s="291" t="e">
        <f>(Stoff!$P32*$D32)*EXP(-'1a. Spredningsmodell input'!$B$43*AT32)</f>
        <v>#VALUE!</v>
      </c>
      <c r="AW32" s="290" t="e">
        <f>($D32-Stoff!$P32*$D32-AU32)*($F32/($F32+Stoff!$L32*365))</f>
        <v>#VALUE!</v>
      </c>
      <c r="AX32" s="290" t="e">
        <f>(Stoff!$P32*$D32)-AV32</f>
        <v>#VALUE!</v>
      </c>
      <c r="AY32" s="290" t="e">
        <f>($O32+AW32)*EXP(-($N32+Stoff!$M32*365)*AT32)</f>
        <v>#VALUE!</v>
      </c>
      <c r="AZ32" s="290" t="e">
        <f>(Stoff!$P32*$O32+AX32)*EXP(-('1a. Spredningsmodell input'!$B$46)*AT32)</f>
        <v>#VALUE!</v>
      </c>
      <c r="BA32" s="292" t="e">
        <f>((AY32+AZ32)*1000000000)/('1a. Spredningsmodell input'!$B$45*1000)</f>
        <v>#VALUE!</v>
      </c>
      <c r="BB32" s="294" t="e">
        <f>0.001*BA32/('1a. Spredningsmodell input'!$C$25+'1a. Spredningsmodell input'!$C$26/Mellomregninger!$K32)</f>
        <v>#VALUE!</v>
      </c>
      <c r="BC32" s="294" t="e">
        <f>1000*BB32/$K32+AZ32*1000000000/('1a. Spredningsmodell input'!$B$45*1000)</f>
        <v>#VALUE!</v>
      </c>
      <c r="BD32" s="294" t="e">
        <f t="shared" si="2"/>
        <v>#VALUE!</v>
      </c>
      <c r="BE32" s="294" t="e">
        <f>AZ32*1000000000/('1a. Spredningsmodell input'!$B$45*1000)</f>
        <v>#VALUE!</v>
      </c>
      <c r="BF32" s="295">
        <f t="shared" si="15"/>
        <v>20</v>
      </c>
      <c r="BG32" s="290" t="e">
        <f>($D32-Stoff!$P32*$D32)*EXP(-($F32+Stoff!$L32*365)*BF32)</f>
        <v>#VALUE!</v>
      </c>
      <c r="BH32" s="291" t="e">
        <f>(Stoff!$P32*$D32)*EXP(-'1a. Spredningsmodell input'!$B$43*BF32)</f>
        <v>#VALUE!</v>
      </c>
      <c r="BI32" s="290" t="e">
        <f>($D32-Stoff!$P32*$D32-BG32)*($F32/($F32+Stoff!$L32*365))</f>
        <v>#VALUE!</v>
      </c>
      <c r="BJ32" s="290" t="e">
        <f>(Stoff!$P32*$D32)-BH32</f>
        <v>#VALUE!</v>
      </c>
      <c r="BK32" s="290" t="e">
        <f>($O32+BI32)*EXP(-($N32+Stoff!$M32*365)*BF32)</f>
        <v>#VALUE!</v>
      </c>
      <c r="BL32" s="290" t="e">
        <f>(Stoff!$P32*$O32+BJ32)*EXP(-('1a. Spredningsmodell input'!$B$46)*BF32)</f>
        <v>#VALUE!</v>
      </c>
      <c r="BM32" s="292" t="e">
        <f>((BK32+BL32)*1000000000)/('1a. Spredningsmodell input'!$B$45*1000)</f>
        <v>#VALUE!</v>
      </c>
      <c r="BN32" s="294" t="e">
        <f>0.001*BM32/('1a. Spredningsmodell input'!$C$25+'1a. Spredningsmodell input'!$C$26/Mellomregninger!$K32)</f>
        <v>#VALUE!</v>
      </c>
      <c r="BO32" s="294" t="e">
        <f>1000*BN32/$K32+BL32*1000000000/('1a. Spredningsmodell input'!$B$45*1000)</f>
        <v>#VALUE!</v>
      </c>
      <c r="BP32" s="294" t="e">
        <f t="shared" si="3"/>
        <v>#VALUE!</v>
      </c>
      <c r="BQ32" s="294" t="e">
        <f>BL32*1000000000/('1a. Spredningsmodell input'!$B$45*1000)</f>
        <v>#VALUE!</v>
      </c>
      <c r="BR32" s="295">
        <f t="shared" si="16"/>
        <v>100</v>
      </c>
      <c r="BS32" s="290" t="e">
        <f>($D32-Stoff!$P32*$D32)*EXP(-($F32+Stoff!$L32*365)*BR32)</f>
        <v>#VALUE!</v>
      </c>
      <c r="BT32" s="291" t="e">
        <f>(Stoff!$P32*$D32)*EXP(-'1a. Spredningsmodell input'!$B$43*BR32)</f>
        <v>#VALUE!</v>
      </c>
      <c r="BU32" s="290" t="e">
        <f>($D32-Stoff!$P32*$D32-BS32)*($F32/($F32+Stoff!$L32*365))</f>
        <v>#VALUE!</v>
      </c>
      <c r="BV32" s="290" t="e">
        <f>(Stoff!$P32*$D32)-BT32</f>
        <v>#VALUE!</v>
      </c>
      <c r="BW32" s="290" t="e">
        <f>($O32+BU32)*EXP(-($N32+Stoff!$M32*365)*BR32)</f>
        <v>#VALUE!</v>
      </c>
      <c r="BX32" s="290" t="e">
        <f>(Stoff!$P32*$O32+BV32)*EXP(-('1a. Spredningsmodell input'!$B$46)*BR32)</f>
        <v>#VALUE!</v>
      </c>
      <c r="BY32" s="292" t="e">
        <f>((BW32+BX32)*1000000000)/('1a. Spredningsmodell input'!$B$45*1000)</f>
        <v>#VALUE!</v>
      </c>
      <c r="BZ32" s="294" t="e">
        <f>0.001*BY32/('1a. Spredningsmodell input'!$C$25+'1a. Spredningsmodell input'!$C$26/Mellomregninger!$K32)</f>
        <v>#VALUE!</v>
      </c>
      <c r="CA32" s="294" t="e">
        <f>1000*BZ32/$K32+BX32*1000000000/('1a. Spredningsmodell input'!$B$45*1000)</f>
        <v>#VALUE!</v>
      </c>
      <c r="CB32" s="294" t="e">
        <f t="shared" si="4"/>
        <v>#VALUE!</v>
      </c>
      <c r="CC32" s="294" t="e">
        <f>BX32*1000000000/('1a. Spredningsmodell input'!$B$45*1000)</f>
        <v>#VALUE!</v>
      </c>
      <c r="CD32" s="294" t="e">
        <f>V32+'1a. Spredningsmodell input'!$C$35</f>
        <v>#VALUE!</v>
      </c>
      <c r="CE32" s="294" t="e">
        <f>($S32+$Q32*($O32+$I32*($D32*(1-Stoff!$P32))*(1-EXP(-($F32+Stoff!$L32*365)*CD32)))*(1-EXP(-($N32+Stoff!$M32*365)*CD32)))</f>
        <v>#VALUE!</v>
      </c>
      <c r="CF32" s="294" t="e">
        <f t="shared" si="5"/>
        <v>#VALUE!</v>
      </c>
      <c r="CG32" s="296" t="e">
        <f>(CF32/1000000)*'1a. Spredningsmodell input'!$B$49*'1a. Spredningsmodell input'!$C$35</f>
        <v>#VALUE!</v>
      </c>
      <c r="CH32" s="294" t="e">
        <f t="shared" si="17"/>
        <v>#VALUE!</v>
      </c>
      <c r="CI32" s="290" t="e">
        <f>(CH32/1000000)*'1a. Spredningsmodell input'!$B$49*'1a. Spredningsmodell input'!$C$35</f>
        <v>#VALUE!</v>
      </c>
      <c r="CJ32" s="297" t="e">
        <f>($S32)*EXP(-(Stoff!$N32*365+$U32)*CD32)+CG32</f>
        <v>#VALUE!</v>
      </c>
      <c r="CK32" s="297" t="e">
        <f>(Stoff!$P32*$S32+CI32)*EXP(-$T32*CD32)</f>
        <v>#VALUE!</v>
      </c>
      <c r="CL32" s="297" t="e">
        <f>(CJ32+CK32)*1000000000/('1a. Spredningsmodell input'!$C$36*1000)</f>
        <v>#VALUE!</v>
      </c>
      <c r="CM32" s="297" t="e">
        <f>$G32*(1-EXP(-'1a. Spredningsmodell input'!$B$43*Mellomregninger!CD32))*(1-EXP(-'1a. Spredningsmodell input'!$B$46*Mellomregninger!CD32))</f>
        <v>#VALUE!</v>
      </c>
      <c r="CN32" s="297"/>
      <c r="CO32" s="297"/>
      <c r="CP32" s="290">
        <f>IF(ISNUMBER(AH32),AH32+'1a. Spredningsmodell input'!$C$35,'1a. Spredningsmodell input'!$C$35)</f>
        <v>1</v>
      </c>
      <c r="CQ32" s="294" t="e">
        <f>($S32+$Q32*($O32+$I32*($D32*(1-Stoff!$P32))*(1-EXP(-($F32+Stoff!$L32*365)*CP32)))*(1-EXP(-($N32+Stoff!$M32*365)*CP32)))</f>
        <v>#VALUE!</v>
      </c>
      <c r="CR32" s="294" t="e">
        <f t="shared" si="6"/>
        <v>#VALUE!</v>
      </c>
      <c r="CS32" s="296" t="e">
        <f>(CR32/1000000)*('1a. Spredningsmodell input'!$B$49*'1a. Spredningsmodell input'!$C$35)</f>
        <v>#VALUE!</v>
      </c>
      <c r="CT32" s="294" t="e">
        <f t="shared" si="7"/>
        <v>#VALUE!</v>
      </c>
      <c r="CU32" s="290" t="e">
        <f>(CT32/1000000)*('1a. Spredningsmodell input'!$B$49)*'1a. Spredningsmodell input'!$C$35</f>
        <v>#VALUE!</v>
      </c>
      <c r="CV32" s="297" t="e">
        <f>($S32)*EXP(-(Stoff!$N32*365+$U32)*CP32)+CS32</f>
        <v>#VALUE!</v>
      </c>
      <c r="CW32" s="297" t="e">
        <f>(Stoff!$P32*$S32+CU32)*EXP(-$T32*CP32)</f>
        <v>#VALUE!</v>
      </c>
      <c r="CX32" s="297">
        <f>IF(ISERROR(CV32),0,(CV32+CW32)*1000000000/('1a. Spredningsmodell input'!$C$36*1000))</f>
        <v>0</v>
      </c>
      <c r="CY32" s="297" t="e">
        <f>$G32*(1-EXP(-'1a. Spredningsmodell input'!$B$43*Mellomregninger!CP32))*(1-EXP(-'1a. Spredningsmodell input'!$B$46*Mellomregninger!CP32))</f>
        <v>#VALUE!</v>
      </c>
      <c r="CZ32" s="297"/>
      <c r="DA32" s="297"/>
      <c r="DB32" s="262">
        <f t="shared" si="18"/>
        <v>5</v>
      </c>
      <c r="DC32" s="298" t="e">
        <f>($S32+$Q32*($O32+$I32*($D32*(1-Stoff!$P32))*(1-EXP(-($F32+Stoff!$L32*365)*DB32)))*(1-EXP(-($N32+Stoff!$M32*365)*DB32)))</f>
        <v>#VALUE!</v>
      </c>
      <c r="DD32" s="294" t="e">
        <f t="shared" si="8"/>
        <v>#VALUE!</v>
      </c>
      <c r="DE32" s="296" t="e">
        <f>(DD32/1000000)*('1a. Spredningsmodell input'!$B$49)*'1a. Spredningsmodell input'!$C$35</f>
        <v>#VALUE!</v>
      </c>
      <c r="DF32" s="294" t="e">
        <f t="shared" si="19"/>
        <v>#VALUE!</v>
      </c>
      <c r="DG32" s="290" t="e">
        <f>(DF32/1000000)*('1a. Spredningsmodell input'!$B$49)*'1a. Spredningsmodell input'!$C$35</f>
        <v>#VALUE!</v>
      </c>
      <c r="DH32" s="297" t="e">
        <f>($S32)*EXP(-(Stoff!$N32*365+$U32)*DB32)+DE32</f>
        <v>#VALUE!</v>
      </c>
      <c r="DI32" s="297" t="e">
        <f>(Stoff!$P32*$S32+DG32)*EXP(-$T32*DB32)</f>
        <v>#VALUE!</v>
      </c>
      <c r="DJ32" s="297" t="e">
        <f>(DH32+DI32)*1000000000/('1a. Spredningsmodell input'!$C$36*1000)</f>
        <v>#VALUE!</v>
      </c>
      <c r="DK32" s="297" t="e">
        <f>$G32*(1-EXP(-'1a. Spredningsmodell input'!$B$43*Mellomregninger!DB32))*(1-EXP(-'1a. Spredningsmodell input'!$B$46*Mellomregninger!DB32))</f>
        <v>#VALUE!</v>
      </c>
      <c r="DL32" s="297"/>
      <c r="DM32" s="297"/>
      <c r="DN32" s="262">
        <f t="shared" si="20"/>
        <v>20</v>
      </c>
      <c r="DO32" s="298" t="e">
        <f>($S32+$Q32*($O32+$I32*($D32*(1-Stoff!$P32))*(1-EXP(-($F32+Stoff!$L32*365)*DN32)))*(1-EXP(-($N32+Stoff!$M32*365)*DN32)))</f>
        <v>#VALUE!</v>
      </c>
      <c r="DP32" s="294" t="e">
        <f t="shared" si="21"/>
        <v>#VALUE!</v>
      </c>
      <c r="DQ32" s="296" t="e">
        <f>(DP32/1000000)*('1a. Spredningsmodell input'!$B$49)*'1a. Spredningsmodell input'!$C$35</f>
        <v>#VALUE!</v>
      </c>
      <c r="DR32" s="294" t="e">
        <f t="shared" si="9"/>
        <v>#VALUE!</v>
      </c>
      <c r="DS32" s="290" t="e">
        <f>(DR32/1000000)*('1a. Spredningsmodell input'!$B$49)*'1a. Spredningsmodell input'!$C$35</f>
        <v>#VALUE!</v>
      </c>
      <c r="DT32" s="297" t="e">
        <f>($S32)*EXP(-(Stoff!$N32*365+$U32)*DN32)+DQ32</f>
        <v>#VALUE!</v>
      </c>
      <c r="DU32" s="297" t="e">
        <f>(Stoff!$P32*$S32+DS32)*EXP(-$T32*DN32)</f>
        <v>#VALUE!</v>
      </c>
      <c r="DV32" s="297" t="e">
        <f>(DT32+DU32)*1000000000/('1a. Spredningsmodell input'!$C$36*1000)</f>
        <v>#VALUE!</v>
      </c>
      <c r="DW32" s="297" t="e">
        <f>$G32*(1-EXP(-'1a. Spredningsmodell input'!$B$43*Mellomregninger!DN32))*(1-EXP(-'1a. Spredningsmodell input'!$B$46*Mellomregninger!DN32))</f>
        <v>#VALUE!</v>
      </c>
      <c r="DX32" s="297"/>
      <c r="DY32" s="297"/>
      <c r="DZ32" s="262">
        <f t="shared" si="22"/>
        <v>100</v>
      </c>
      <c r="EA32" s="298" t="e">
        <f>($S32+$Q32*($O32+$I32*($D32*(1-Stoff!$P32))*(1-EXP(-($F32+Stoff!$L32*365)*DZ32)))*(1-EXP(-($N32+Stoff!$M32*365)*DZ32)))</f>
        <v>#VALUE!</v>
      </c>
      <c r="EB32" s="294" t="e">
        <f t="shared" si="10"/>
        <v>#VALUE!</v>
      </c>
      <c r="EC32" s="296" t="e">
        <f>(EB32/1000000)*('1a. Spredningsmodell input'!$B$49)*'1a. Spredningsmodell input'!$C$35</f>
        <v>#VALUE!</v>
      </c>
      <c r="ED32" s="294" t="e">
        <f t="shared" si="11"/>
        <v>#VALUE!</v>
      </c>
      <c r="EE32" s="290" t="e">
        <f>(ED32/1000000)*('1a. Spredningsmodell input'!$B$49)*'1a. Spredningsmodell input'!$C$35</f>
        <v>#VALUE!</v>
      </c>
      <c r="EF32" s="297" t="e">
        <f>($S32)*EXP(-(Stoff!$N32*365+$U32)*DZ32)+EC32</f>
        <v>#VALUE!</v>
      </c>
      <c r="EG32" s="297" t="e">
        <f>(Stoff!$P32*$S32+EE32)*EXP(-$T32*DZ32)</f>
        <v>#VALUE!</v>
      </c>
      <c r="EH32" s="297" t="e">
        <f>(EF32+EG32)*1000000000/('1a. Spredningsmodell input'!$C$36*1000)</f>
        <v>#VALUE!</v>
      </c>
      <c r="EI32" s="297" t="e">
        <f>$G32*(1-EXP(-'1a. Spredningsmodell input'!$B$43*Mellomregninger!DZ32))*(1-EXP(-'1a. Spredningsmodell input'!$B$46*Mellomregninger!DZ32))</f>
        <v>#VALUE!</v>
      </c>
      <c r="EJ32" s="297"/>
      <c r="EK32" s="297"/>
      <c r="EL32" s="262">
        <f t="shared" si="23"/>
        <v>1.0000000000000001E+25</v>
      </c>
      <c r="EM32" s="294" t="e">
        <f>($S32+$Q32*($O32+$I32*($D32*(1-Stoff!$P32))*(1-EXP(-($F32+Stoff!$L32*365)*EL32)))*(1-EXP(-($N32+Stoff!$M32*365)*EL32)))</f>
        <v>#VALUE!</v>
      </c>
      <c r="EN32" s="296" t="e">
        <f>($S32+$Q32*($O32+$I32*($D32*(1-Stoff!$P32))*(1-EXP(-($F32+Stoff!$L32*365)*(EL32-'1a. Spredningsmodell input'!$C$35))))*(1-EXP(-($N32+Stoff!$M32*365)*(EL32-'1a. Spredningsmodell input'!$C$35))))</f>
        <v>#VALUE!</v>
      </c>
      <c r="EO32" s="294" t="e">
        <f>IF(EL32&lt;'1a. Spredningsmodell input'!$C$35,EM32-($S32)*EXP(-(Stoff!$N32*365+$U32)*EL32),EM32-EN32)</f>
        <v>#VALUE!</v>
      </c>
      <c r="EP32" s="290" t="e">
        <f>((($D32*(Stoff!$P32))*(1-EXP(-'1a. Spredningsmodell input'!$B$43*EL32)))*(1-EXP(-'1a. Spredningsmodell input'!$B$46*EL32)))</f>
        <v>#VALUE!</v>
      </c>
      <c r="EQ32" s="294" t="e">
        <f>((($D32*(Stoff!$P32))*(1-EXP(-'1a. Spredningsmodell input'!$B$43*(EL32-'1a. Spredningsmodell input'!$C$35))))*(1-EXP(-'1a. Spredningsmodell input'!$B$46*(EL32-'1a. Spredningsmodell input'!$C$35))))</f>
        <v>#VALUE!</v>
      </c>
      <c r="ER32" s="290" t="e">
        <f>IF(EL32&lt;'1a. Spredningsmodell input'!$C$35,0,EP32-EQ32)</f>
        <v>#VALUE!</v>
      </c>
      <c r="ES32" s="297" t="e">
        <f>($S32)*EXP(-(Stoff!$N32*365+$U32)*EL32)+EO32</f>
        <v>#VALUE!</v>
      </c>
      <c r="ET32" s="297" t="e">
        <f>(Stoff!$P32*$S32+ER32)*EXP(-$T32*EL32)</f>
        <v>#VALUE!</v>
      </c>
      <c r="EU32" s="297" t="e">
        <f>(ES32+ET32)*1000000000/('1a. Spredningsmodell input'!$C$36*1000)</f>
        <v>#VALUE!</v>
      </c>
      <c r="EV32" s="262" t="e">
        <f t="shared" si="12"/>
        <v>#VALUE!</v>
      </c>
      <c r="EW32" s="299" t="e">
        <f t="shared" si="13"/>
        <v>#VALUE!</v>
      </c>
      <c r="EX32" s="262" t="e">
        <f t="shared" si="24"/>
        <v>#VALUE!</v>
      </c>
    </row>
    <row r="33" spans="1:154" x14ac:dyDescent="0.35">
      <c r="A33" s="50" t="s">
        <v>177</v>
      </c>
      <c r="B33" s="34" t="str">
        <f>IF(ISNUMBER('1c. Kons. porevann'!E33),1000*'1c. Kons. porevann'!E33,IF(ISNUMBER('1b. Kons. umettet jord'!E33),1000*'1b. Kons. umettet jord'!E33/C33,""))</f>
        <v/>
      </c>
      <c r="C33" s="244">
        <f>IF(Stoff!B33="uorganisk",Stoff!C33,Stoff!D33*'1a. Spredningsmodell input'!$C$11)</f>
        <v>0.40700000000000003</v>
      </c>
      <c r="D33" s="34" t="str">
        <f>IF(ISNUMBER(B33),0.000001*('1b. Kons. umettet jord'!G33*'1a. Spredningsmodell input'!$C$12+B33*0.001*'1a. Spredningsmodell input'!$C$14)*1000*'1a. Spredningsmodell input'!$B$41*'1a. Spredningsmodell input'!$C$18,"")</f>
        <v/>
      </c>
      <c r="E33" s="283">
        <f>C33*'1a. Spredningsmodell input'!$C$12/'1a. Spredningsmodell input'!$C$14+1</f>
        <v>4.4595000000000002</v>
      </c>
      <c r="F33" s="284">
        <f>'1a. Spredningsmodell input'!$B$43/E33</f>
        <v>0.33636057854019502</v>
      </c>
      <c r="G33" s="34" t="e">
        <f>Stoff!P33*Mellomregninger!D33</f>
        <v>#VALUE!</v>
      </c>
      <c r="H33" s="283" t="e">
        <f>(D33-G33)*(F33/(F33+Stoff!L33))</f>
        <v>#VALUE!</v>
      </c>
      <c r="I33" s="283">
        <f>F33/(F33+Stoff!L33)</f>
        <v>1</v>
      </c>
      <c r="J33" s="285" t="str">
        <f>IF(B33="","",IF(ISNUMBER('1d. Kons. mettet sone'!E33),'1d. Kons. mettet sone'!E33,IF(ISNUMBER('1e. Kons. grunnvann'!E33),'1e. Kons. grunnvann'!E33*Mellomregninger!K33,0)))</f>
        <v/>
      </c>
      <c r="K33" s="286">
        <f>IF(Stoff!B33="uorganisk",Stoff!C33,Stoff!D33*'1a. Spredningsmodell input'!$C$24)</f>
        <v>4.0700000000000007E-2</v>
      </c>
      <c r="L33" s="27" t="e">
        <f>IF(ISNUMBER('1e. Kons. grunnvann'!E33),1000*'1e. Kons. grunnvann'!E33,1000*J33/K33)</f>
        <v>#VALUE!</v>
      </c>
      <c r="M33" s="34">
        <f>K33*'1a. Spredningsmodell input'!$C$25/'1a. Spredningsmodell input'!$C$26+1</f>
        <v>1.1729750000000001</v>
      </c>
      <c r="N33" s="284">
        <f>'1a. Spredningsmodell input'!$C$26/M33</f>
        <v>0.34101323557620578</v>
      </c>
      <c r="O33" s="287" t="e">
        <f>0.000000001*(J33*'1a. Spredningsmodell input'!$C$25+L33)*1000*'1a. Spredningsmodell input'!$B$45</f>
        <v>#VALUE!</v>
      </c>
      <c r="P33" s="287" t="e">
        <f>O33*Stoff!P33</f>
        <v>#VALUE!</v>
      </c>
      <c r="Q33" s="287">
        <f>N33/(N33+Stoff!M33)</f>
        <v>1</v>
      </c>
      <c r="R33" s="288">
        <f>IF(ISNUMBER('1f. Kons. resipient'!E33),'1f. Kons. resipient'!E33,0)</f>
        <v>0</v>
      </c>
      <c r="S33" s="288">
        <f>0.000000001*'1a. Spredningsmodell input'!$C$36*R33*1000</f>
        <v>0</v>
      </c>
      <c r="T33" s="288">
        <f>1/'1a. Spredningsmodell input'!$C$35</f>
        <v>1</v>
      </c>
      <c r="U33" s="288">
        <f>1/'1a. Spredningsmodell input'!$C$35</f>
        <v>1</v>
      </c>
      <c r="V33" s="300" t="e">
        <f>(1/($N33+Stoff!$L33))*(LN(($D33*$I33/($D33*$I33+$J33))*($F33+Stoff!$L33+$N33+Stoff!$M33)/($N33+Stoff!$M33)))</f>
        <v>#VALUE!</v>
      </c>
      <c r="W33" s="290" t="e">
        <f>($D33-Stoff!$P33*$D33)*EXP(-($F33+Stoff!$L33*365)*V33)</f>
        <v>#VALUE!</v>
      </c>
      <c r="X33" s="291" t="e">
        <f>(Stoff!$P33*$D33)*EXP(-'1a. Spredningsmodell input'!$B$43*V33)</f>
        <v>#VALUE!</v>
      </c>
      <c r="Y33" s="290" t="e">
        <f>($D33-Stoff!$P33*$D33-W33)*($F33/($F33+Stoff!$L33*365))</f>
        <v>#VALUE!</v>
      </c>
      <c r="Z33" s="290" t="e">
        <f>(Stoff!$P33*$D33)-X33</f>
        <v>#VALUE!</v>
      </c>
      <c r="AA33" s="290" t="e">
        <f>($O33+Y33)*EXP(-($N33+Stoff!$M33*365)*V33)</f>
        <v>#VALUE!</v>
      </c>
      <c r="AB33" s="290" t="e">
        <f>(Stoff!$P33*$O33+Z33)*EXP(-('1a. Spredningsmodell input'!$B$46)*V33)</f>
        <v>#VALUE!</v>
      </c>
      <c r="AC33" s="292" t="e">
        <f>((AA33+AB33)*1000000000)/('1a. Spredningsmodell input'!$B$45*1000)</f>
        <v>#VALUE!</v>
      </c>
      <c r="AD33" s="294" t="e">
        <f>0.001*AC33/('1a. Spredningsmodell input'!$C$25+'1a. Spredningsmodell input'!$C$26/Mellomregninger!$K33)</f>
        <v>#VALUE!</v>
      </c>
      <c r="AE33" s="294" t="e">
        <f>1000*AD33/$K33+AB33*1000000000/('1a. Spredningsmodell input'!$B$45*1000)</f>
        <v>#VALUE!</v>
      </c>
      <c r="AF33" s="294" t="e">
        <f t="shared" si="0"/>
        <v>#VALUE!</v>
      </c>
      <c r="AG33" s="294" t="e">
        <f>AB33*1000000000/('1a. Spredningsmodell input'!$B$45*1000)</f>
        <v>#VALUE!</v>
      </c>
      <c r="AH33" s="300" t="e">
        <f>(1/('1a. Spredningsmodell input'!$B$46))*(LN(($D33*Stoff!$P33/($D33*Stoff!$P33+$P33*Stoff!$P33))*('1a. Spredningsmodell input'!$B$43+'1a. Spredningsmodell input'!$B$46)/('1a. Spredningsmodell input'!$B$46)))</f>
        <v>#VALUE!</v>
      </c>
      <c r="AI33" s="290" t="e">
        <f>($D33-Stoff!$P33*$D33)*EXP(-($F33+Stoff!$L33*365)*AH33)</f>
        <v>#VALUE!</v>
      </c>
      <c r="AJ33" s="291" t="e">
        <f>(Stoff!$P33*$D33)*EXP(-'1a. Spredningsmodell input'!$B$43*AH33)</f>
        <v>#VALUE!</v>
      </c>
      <c r="AK33" s="290" t="e">
        <f>($D33-Stoff!$P33*$D33-AI33)*($F33/($F33+Stoff!$L33*365))</f>
        <v>#VALUE!</v>
      </c>
      <c r="AL33" s="290" t="e">
        <f>(Stoff!$P33*$D33)-AJ33</f>
        <v>#VALUE!</v>
      </c>
      <c r="AM33" s="290" t="e">
        <f>($O33+AK33)*EXP(-($N33+Stoff!$M33*365)*AH33)</f>
        <v>#VALUE!</v>
      </c>
      <c r="AN33" s="290" t="e">
        <f>(Stoff!$P33*$O33+AL33)*EXP(-('1a. Spredningsmodell input'!$B$46)*AH33)</f>
        <v>#VALUE!</v>
      </c>
      <c r="AO33" s="292" t="e">
        <f>((AM33+AN33)*1000000000)/('1a. Spredningsmodell input'!$B$45*1000)</f>
        <v>#VALUE!</v>
      </c>
      <c r="AP33" s="294" t="e">
        <f>0.001*AO33/('1a. Spredningsmodell input'!$C$25+'1a. Spredningsmodell input'!$C$26/Mellomregninger!$K33)</f>
        <v>#VALUE!</v>
      </c>
      <c r="AQ33" s="294" t="e">
        <f>1000*AP33/$K33+AN33*1000000000/('1a. Spredningsmodell input'!$B$45*1000)</f>
        <v>#VALUE!</v>
      </c>
      <c r="AR33" s="294" t="e">
        <f t="shared" si="1"/>
        <v>#VALUE!</v>
      </c>
      <c r="AS33" s="294" t="e">
        <f>AN33*1000000000/('1a. Spredningsmodell input'!$B$45*1000)</f>
        <v>#VALUE!</v>
      </c>
      <c r="AT33" s="295">
        <f t="shared" si="14"/>
        <v>5</v>
      </c>
      <c r="AU33" s="290" t="e">
        <f>($D33-Stoff!$P33*$D33)*EXP(-($F33+Stoff!$L33*365)*AT33)</f>
        <v>#VALUE!</v>
      </c>
      <c r="AV33" s="291" t="e">
        <f>(Stoff!$P33*$D33)*EXP(-'1a. Spredningsmodell input'!$B$43*AT33)</f>
        <v>#VALUE!</v>
      </c>
      <c r="AW33" s="290" t="e">
        <f>($D33-Stoff!$P33*$D33-AU33)*($F33/($F33+Stoff!$L33*365))</f>
        <v>#VALUE!</v>
      </c>
      <c r="AX33" s="290" t="e">
        <f>(Stoff!$P33*$D33)-AV33</f>
        <v>#VALUE!</v>
      </c>
      <c r="AY33" s="290" t="e">
        <f>($O33+AW33)*EXP(-($N33+Stoff!$M33*365)*AT33)</f>
        <v>#VALUE!</v>
      </c>
      <c r="AZ33" s="290" t="e">
        <f>(Stoff!$P33*$O33+AX33)*EXP(-('1a. Spredningsmodell input'!$B$46)*AT33)</f>
        <v>#VALUE!</v>
      </c>
      <c r="BA33" s="292" t="e">
        <f>((AY33+AZ33)*1000000000)/('1a. Spredningsmodell input'!$B$45*1000)</f>
        <v>#VALUE!</v>
      </c>
      <c r="BB33" s="294" t="e">
        <f>0.001*BA33/('1a. Spredningsmodell input'!$C$25+'1a. Spredningsmodell input'!$C$26/Mellomregninger!$K33)</f>
        <v>#VALUE!</v>
      </c>
      <c r="BC33" s="294" t="e">
        <f>1000*BB33/$K33+AZ33*1000000000/('1a. Spredningsmodell input'!$B$45*1000)</f>
        <v>#VALUE!</v>
      </c>
      <c r="BD33" s="294" t="e">
        <f t="shared" si="2"/>
        <v>#VALUE!</v>
      </c>
      <c r="BE33" s="294" t="e">
        <f>AZ33*1000000000/('1a. Spredningsmodell input'!$B$45*1000)</f>
        <v>#VALUE!</v>
      </c>
      <c r="BF33" s="295">
        <f t="shared" si="15"/>
        <v>20</v>
      </c>
      <c r="BG33" s="290" t="e">
        <f>($D33-Stoff!$P33*$D33)*EXP(-($F33+Stoff!$L33*365)*BF33)</f>
        <v>#VALUE!</v>
      </c>
      <c r="BH33" s="291" t="e">
        <f>(Stoff!$P33*$D33)*EXP(-'1a. Spredningsmodell input'!$B$43*BF33)</f>
        <v>#VALUE!</v>
      </c>
      <c r="BI33" s="290" t="e">
        <f>($D33-Stoff!$P33*$D33-BG33)*($F33/($F33+Stoff!$L33*365))</f>
        <v>#VALUE!</v>
      </c>
      <c r="BJ33" s="290" t="e">
        <f>(Stoff!$P33*$D33)-BH33</f>
        <v>#VALUE!</v>
      </c>
      <c r="BK33" s="290" t="e">
        <f>($O33+BI33)*EXP(-($N33+Stoff!$M33*365)*BF33)</f>
        <v>#VALUE!</v>
      </c>
      <c r="BL33" s="290" t="e">
        <f>(Stoff!$P33*$O33+BJ33)*EXP(-('1a. Spredningsmodell input'!$B$46)*BF33)</f>
        <v>#VALUE!</v>
      </c>
      <c r="BM33" s="292" t="e">
        <f>((BK33+BL33)*1000000000)/('1a. Spredningsmodell input'!$B$45*1000)</f>
        <v>#VALUE!</v>
      </c>
      <c r="BN33" s="294" t="e">
        <f>0.001*BM33/('1a. Spredningsmodell input'!$C$25+'1a. Spredningsmodell input'!$C$26/Mellomregninger!$K33)</f>
        <v>#VALUE!</v>
      </c>
      <c r="BO33" s="294" t="e">
        <f>1000*BN33/$K33+BL33*1000000000/('1a. Spredningsmodell input'!$B$45*1000)</f>
        <v>#VALUE!</v>
      </c>
      <c r="BP33" s="294" t="e">
        <f t="shared" si="3"/>
        <v>#VALUE!</v>
      </c>
      <c r="BQ33" s="294" t="e">
        <f>BL33*1000000000/('1a. Spredningsmodell input'!$B$45*1000)</f>
        <v>#VALUE!</v>
      </c>
      <c r="BR33" s="295">
        <f t="shared" si="16"/>
        <v>100</v>
      </c>
      <c r="BS33" s="290" t="e">
        <f>($D33-Stoff!$P33*$D33)*EXP(-($F33+Stoff!$L33*365)*BR33)</f>
        <v>#VALUE!</v>
      </c>
      <c r="BT33" s="291" t="e">
        <f>(Stoff!$P33*$D33)*EXP(-'1a. Spredningsmodell input'!$B$43*BR33)</f>
        <v>#VALUE!</v>
      </c>
      <c r="BU33" s="290" t="e">
        <f>($D33-Stoff!$P33*$D33-BS33)*($F33/($F33+Stoff!$L33*365))</f>
        <v>#VALUE!</v>
      </c>
      <c r="BV33" s="290" t="e">
        <f>(Stoff!$P33*$D33)-BT33</f>
        <v>#VALUE!</v>
      </c>
      <c r="BW33" s="290" t="e">
        <f>($O33+BU33)*EXP(-($N33+Stoff!$M33*365)*BR33)</f>
        <v>#VALUE!</v>
      </c>
      <c r="BX33" s="290" t="e">
        <f>(Stoff!$P33*$O33+BV33)*EXP(-('1a. Spredningsmodell input'!$B$46)*BR33)</f>
        <v>#VALUE!</v>
      </c>
      <c r="BY33" s="292" t="e">
        <f>((BW33+BX33)*1000000000)/('1a. Spredningsmodell input'!$B$45*1000)</f>
        <v>#VALUE!</v>
      </c>
      <c r="BZ33" s="294" t="e">
        <f>0.001*BY33/('1a. Spredningsmodell input'!$C$25+'1a. Spredningsmodell input'!$C$26/Mellomregninger!$K33)</f>
        <v>#VALUE!</v>
      </c>
      <c r="CA33" s="294" t="e">
        <f>1000*BZ33/$K33+BX33*1000000000/('1a. Spredningsmodell input'!$B$45*1000)</f>
        <v>#VALUE!</v>
      </c>
      <c r="CB33" s="294" t="e">
        <f t="shared" si="4"/>
        <v>#VALUE!</v>
      </c>
      <c r="CC33" s="294" t="e">
        <f>BX33*1000000000/('1a. Spredningsmodell input'!$B$45*1000)</f>
        <v>#VALUE!</v>
      </c>
      <c r="CD33" s="294" t="e">
        <f>V33+'1a. Spredningsmodell input'!$C$35</f>
        <v>#VALUE!</v>
      </c>
      <c r="CE33" s="294" t="e">
        <f>($S33+$Q33*($O33+$I33*($D33*(1-Stoff!$P33))*(1-EXP(-($F33+Stoff!$L33*365)*CD33)))*(1-EXP(-($N33+Stoff!$M33*365)*CD33)))</f>
        <v>#VALUE!</v>
      </c>
      <c r="CF33" s="294" t="e">
        <f t="shared" si="5"/>
        <v>#VALUE!</v>
      </c>
      <c r="CG33" s="296" t="e">
        <f>(CF33/1000000)*'1a. Spredningsmodell input'!$B$49*'1a. Spredningsmodell input'!$C$35</f>
        <v>#VALUE!</v>
      </c>
      <c r="CH33" s="294" t="e">
        <f t="shared" si="17"/>
        <v>#VALUE!</v>
      </c>
      <c r="CI33" s="290" t="e">
        <f>(CH33/1000000)*'1a. Spredningsmodell input'!$B$49*'1a. Spredningsmodell input'!$C$35</f>
        <v>#VALUE!</v>
      </c>
      <c r="CJ33" s="297" t="e">
        <f>($S33)*EXP(-(Stoff!$N33*365+$U33)*CD33)+CG33</f>
        <v>#VALUE!</v>
      </c>
      <c r="CK33" s="297" t="e">
        <f>(Stoff!$P33*$S33+CI33)*EXP(-$T33*CD33)</f>
        <v>#VALUE!</v>
      </c>
      <c r="CL33" s="297" t="e">
        <f>(CJ33+CK33)*1000000000/('1a. Spredningsmodell input'!$C$36*1000)</f>
        <v>#VALUE!</v>
      </c>
      <c r="CM33" s="297" t="e">
        <f>$G33*(1-EXP(-'1a. Spredningsmodell input'!$B$43*Mellomregninger!CD33))*(1-EXP(-'1a. Spredningsmodell input'!$B$46*Mellomregninger!CD33))</f>
        <v>#VALUE!</v>
      </c>
      <c r="CN33" s="297"/>
      <c r="CO33" s="297"/>
      <c r="CP33" s="290">
        <f>IF(ISNUMBER(AH33),AH33+'1a. Spredningsmodell input'!$C$35,'1a. Spredningsmodell input'!$C$35)</f>
        <v>1</v>
      </c>
      <c r="CQ33" s="294" t="e">
        <f>($S33+$Q33*($O33+$I33*($D33*(1-Stoff!$P33))*(1-EXP(-($F33+Stoff!$L33*365)*CP33)))*(1-EXP(-($N33+Stoff!$M33*365)*CP33)))</f>
        <v>#VALUE!</v>
      </c>
      <c r="CR33" s="294" t="e">
        <f t="shared" si="6"/>
        <v>#VALUE!</v>
      </c>
      <c r="CS33" s="296" t="e">
        <f>(CR33/1000000)*('1a. Spredningsmodell input'!$B$49*'1a. Spredningsmodell input'!$C$35)</f>
        <v>#VALUE!</v>
      </c>
      <c r="CT33" s="294" t="e">
        <f t="shared" si="7"/>
        <v>#VALUE!</v>
      </c>
      <c r="CU33" s="290" t="e">
        <f>(CT33/1000000)*('1a. Spredningsmodell input'!$B$49)*'1a. Spredningsmodell input'!$C$35</f>
        <v>#VALUE!</v>
      </c>
      <c r="CV33" s="297" t="e">
        <f>($S33)*EXP(-(Stoff!$N33*365+$U33)*CP33)+CS33</f>
        <v>#VALUE!</v>
      </c>
      <c r="CW33" s="297" t="e">
        <f>(Stoff!$P33*$S33+CU33)*EXP(-$T33*CP33)</f>
        <v>#VALUE!</v>
      </c>
      <c r="CX33" s="297">
        <f>IF(ISERROR(CV33),0,(CV33+CW33)*1000000000/('1a. Spredningsmodell input'!$C$36*1000))</f>
        <v>0</v>
      </c>
      <c r="CY33" s="297" t="e">
        <f>$G33*(1-EXP(-'1a. Spredningsmodell input'!$B$43*Mellomregninger!CP33))*(1-EXP(-'1a. Spredningsmodell input'!$B$46*Mellomregninger!CP33))</f>
        <v>#VALUE!</v>
      </c>
      <c r="CZ33" s="297"/>
      <c r="DA33" s="297"/>
      <c r="DB33" s="262">
        <f t="shared" si="18"/>
        <v>5</v>
      </c>
      <c r="DC33" s="298" t="e">
        <f>($S33+$Q33*($O33+$I33*($D33*(1-Stoff!$P33))*(1-EXP(-($F33+Stoff!$L33*365)*DB33)))*(1-EXP(-($N33+Stoff!$M33*365)*DB33)))</f>
        <v>#VALUE!</v>
      </c>
      <c r="DD33" s="294" t="e">
        <f t="shared" si="8"/>
        <v>#VALUE!</v>
      </c>
      <c r="DE33" s="296" t="e">
        <f>(DD33/1000000)*('1a. Spredningsmodell input'!$B$49)*'1a. Spredningsmodell input'!$C$35</f>
        <v>#VALUE!</v>
      </c>
      <c r="DF33" s="294" t="e">
        <f t="shared" si="19"/>
        <v>#VALUE!</v>
      </c>
      <c r="DG33" s="290" t="e">
        <f>(DF33/1000000)*('1a. Spredningsmodell input'!$B$49)*'1a. Spredningsmodell input'!$C$35</f>
        <v>#VALUE!</v>
      </c>
      <c r="DH33" s="297" t="e">
        <f>($S33)*EXP(-(Stoff!$N33*365+$U33)*DB33)+DE33</f>
        <v>#VALUE!</v>
      </c>
      <c r="DI33" s="297" t="e">
        <f>(Stoff!$P33*$S33+DG33)*EXP(-$T33*DB33)</f>
        <v>#VALUE!</v>
      </c>
      <c r="DJ33" s="297" t="e">
        <f>(DH33+DI33)*1000000000/('1a. Spredningsmodell input'!$C$36*1000)</f>
        <v>#VALUE!</v>
      </c>
      <c r="DK33" s="297" t="e">
        <f>$G33*(1-EXP(-'1a. Spredningsmodell input'!$B$43*Mellomregninger!DB33))*(1-EXP(-'1a. Spredningsmodell input'!$B$46*Mellomregninger!DB33))</f>
        <v>#VALUE!</v>
      </c>
      <c r="DL33" s="297"/>
      <c r="DM33" s="297"/>
      <c r="DN33" s="262">
        <f t="shared" si="20"/>
        <v>20</v>
      </c>
      <c r="DO33" s="298" t="e">
        <f>($S33+$Q33*($O33+$I33*($D33*(1-Stoff!$P33))*(1-EXP(-($F33+Stoff!$L33*365)*DN33)))*(1-EXP(-($N33+Stoff!$M33*365)*DN33)))</f>
        <v>#VALUE!</v>
      </c>
      <c r="DP33" s="294" t="e">
        <f t="shared" si="21"/>
        <v>#VALUE!</v>
      </c>
      <c r="DQ33" s="296" t="e">
        <f>(DP33/1000000)*('1a. Spredningsmodell input'!$B$49)*'1a. Spredningsmodell input'!$C$35</f>
        <v>#VALUE!</v>
      </c>
      <c r="DR33" s="294" t="e">
        <f t="shared" si="9"/>
        <v>#VALUE!</v>
      </c>
      <c r="DS33" s="290" t="e">
        <f>(DR33/1000000)*('1a. Spredningsmodell input'!$B$49)*'1a. Spredningsmodell input'!$C$35</f>
        <v>#VALUE!</v>
      </c>
      <c r="DT33" s="297" t="e">
        <f>($S33)*EXP(-(Stoff!$N33*365+$U33)*DN33)+DQ33</f>
        <v>#VALUE!</v>
      </c>
      <c r="DU33" s="297" t="e">
        <f>(Stoff!$P33*$S33+DS33)*EXP(-$T33*DN33)</f>
        <v>#VALUE!</v>
      </c>
      <c r="DV33" s="297" t="e">
        <f>(DT33+DU33)*1000000000/('1a. Spredningsmodell input'!$C$36*1000)</f>
        <v>#VALUE!</v>
      </c>
      <c r="DW33" s="297" t="e">
        <f>$G33*(1-EXP(-'1a. Spredningsmodell input'!$B$43*Mellomregninger!DN33))*(1-EXP(-'1a. Spredningsmodell input'!$B$46*Mellomregninger!DN33))</f>
        <v>#VALUE!</v>
      </c>
      <c r="DX33" s="297"/>
      <c r="DY33" s="297"/>
      <c r="DZ33" s="262">
        <f t="shared" si="22"/>
        <v>100</v>
      </c>
      <c r="EA33" s="298" t="e">
        <f>($S33+$Q33*($O33+$I33*($D33*(1-Stoff!$P33))*(1-EXP(-($F33+Stoff!$L33*365)*DZ33)))*(1-EXP(-($N33+Stoff!$M33*365)*DZ33)))</f>
        <v>#VALUE!</v>
      </c>
      <c r="EB33" s="294" t="e">
        <f t="shared" si="10"/>
        <v>#VALUE!</v>
      </c>
      <c r="EC33" s="296" t="e">
        <f>(EB33/1000000)*('1a. Spredningsmodell input'!$B$49)*'1a. Spredningsmodell input'!$C$35</f>
        <v>#VALUE!</v>
      </c>
      <c r="ED33" s="294" t="e">
        <f t="shared" si="11"/>
        <v>#VALUE!</v>
      </c>
      <c r="EE33" s="290" t="e">
        <f>(ED33/1000000)*('1a. Spredningsmodell input'!$B$49)*'1a. Spredningsmodell input'!$C$35</f>
        <v>#VALUE!</v>
      </c>
      <c r="EF33" s="297" t="e">
        <f>($S33)*EXP(-(Stoff!$N33*365+$U33)*DZ33)+EC33</f>
        <v>#VALUE!</v>
      </c>
      <c r="EG33" s="297" t="e">
        <f>(Stoff!$P33*$S33+EE33)*EXP(-$T33*DZ33)</f>
        <v>#VALUE!</v>
      </c>
      <c r="EH33" s="297" t="e">
        <f>(EF33+EG33)*1000000000/('1a. Spredningsmodell input'!$C$36*1000)</f>
        <v>#VALUE!</v>
      </c>
      <c r="EI33" s="297" t="e">
        <f>$G33*(1-EXP(-'1a. Spredningsmodell input'!$B$43*Mellomregninger!DZ33))*(1-EXP(-'1a. Spredningsmodell input'!$B$46*Mellomregninger!DZ33))</f>
        <v>#VALUE!</v>
      </c>
      <c r="EJ33" s="297"/>
      <c r="EK33" s="297"/>
      <c r="EL33" s="262">
        <f t="shared" si="23"/>
        <v>1.0000000000000001E+25</v>
      </c>
      <c r="EM33" s="294" t="e">
        <f>($S33+$Q33*($O33+$I33*($D33*(1-Stoff!$P33))*(1-EXP(-($F33+Stoff!$L33*365)*EL33)))*(1-EXP(-($N33+Stoff!$M33*365)*EL33)))</f>
        <v>#VALUE!</v>
      </c>
      <c r="EN33" s="296" t="e">
        <f>($S33+$Q33*($O33+$I33*($D33*(1-Stoff!$P33))*(1-EXP(-($F33+Stoff!$L33*365)*(EL33-'1a. Spredningsmodell input'!$C$35))))*(1-EXP(-($N33+Stoff!$M33*365)*(EL33-'1a. Spredningsmodell input'!$C$35))))</f>
        <v>#VALUE!</v>
      </c>
      <c r="EO33" s="294" t="e">
        <f>IF(EL33&lt;'1a. Spredningsmodell input'!$C$35,EM33-($S33)*EXP(-(Stoff!$N33*365+$U33)*EL33),EM33-EN33)</f>
        <v>#VALUE!</v>
      </c>
      <c r="EP33" s="290" t="e">
        <f>((($D33*(Stoff!$P33))*(1-EXP(-'1a. Spredningsmodell input'!$B$43*EL33)))*(1-EXP(-'1a. Spredningsmodell input'!$B$46*EL33)))</f>
        <v>#VALUE!</v>
      </c>
      <c r="EQ33" s="294" t="e">
        <f>((($D33*(Stoff!$P33))*(1-EXP(-'1a. Spredningsmodell input'!$B$43*(EL33-'1a. Spredningsmodell input'!$C$35))))*(1-EXP(-'1a. Spredningsmodell input'!$B$46*(EL33-'1a. Spredningsmodell input'!$C$35))))</f>
        <v>#VALUE!</v>
      </c>
      <c r="ER33" s="290" t="e">
        <f>IF(EL33&lt;'1a. Spredningsmodell input'!$C$35,0,EP33-EQ33)</f>
        <v>#VALUE!</v>
      </c>
      <c r="ES33" s="297" t="e">
        <f>($S33)*EXP(-(Stoff!$N33*365+$U33)*EL33)+EO33</f>
        <v>#VALUE!</v>
      </c>
      <c r="ET33" s="297" t="e">
        <f>(Stoff!$P33*$S33+ER33)*EXP(-$T33*EL33)</f>
        <v>#VALUE!</v>
      </c>
      <c r="EU33" s="297" t="e">
        <f>(ES33+ET33)*1000000000/('1a. Spredningsmodell input'!$C$36*1000)</f>
        <v>#VALUE!</v>
      </c>
      <c r="EV33" s="262" t="e">
        <f t="shared" si="12"/>
        <v>#VALUE!</v>
      </c>
      <c r="EW33" s="299" t="e">
        <f t="shared" si="13"/>
        <v>#VALUE!</v>
      </c>
      <c r="EX33" s="262" t="e">
        <f t="shared" si="24"/>
        <v>#VALUE!</v>
      </c>
    </row>
    <row r="34" spans="1:154" x14ac:dyDescent="0.35">
      <c r="A34" s="50" t="s">
        <v>176</v>
      </c>
      <c r="B34" s="34" t="str">
        <f>IF(ISNUMBER('1c. Kons. porevann'!E34),1000*'1c. Kons. porevann'!E34,IF(ISNUMBER('1b. Kons. umettet jord'!E34),1000*'1b. Kons. umettet jord'!E34/C34,""))</f>
        <v/>
      </c>
      <c r="C34" s="244">
        <f>IF(Stoff!B34="uorganisk",Stoff!C34,Stoff!D34*'1a. Spredningsmodell input'!$C$11)</f>
        <v>1.1000000000000001</v>
      </c>
      <c r="D34" s="34" t="str">
        <f>IF(ISNUMBER(B34),0.000001*('1b. Kons. umettet jord'!G34*'1a. Spredningsmodell input'!$C$12+B34*0.001*'1a. Spredningsmodell input'!$C$14)*1000*'1a. Spredningsmodell input'!$B$41*'1a. Spredningsmodell input'!$C$18,"")</f>
        <v/>
      </c>
      <c r="E34" s="283">
        <f>C34*'1a. Spredningsmodell input'!$C$12/'1a. Spredningsmodell input'!$C$14+1</f>
        <v>10.35</v>
      </c>
      <c r="F34" s="284">
        <f>'1a. Spredningsmodell input'!$B$43/E34</f>
        <v>0.14492753623188404</v>
      </c>
      <c r="G34" s="34" t="e">
        <f>Stoff!P34*Mellomregninger!D34</f>
        <v>#VALUE!</v>
      </c>
      <c r="H34" s="283" t="e">
        <f>(D34-G34)*(F34/(F34+Stoff!L34))</f>
        <v>#VALUE!</v>
      </c>
      <c r="I34" s="283">
        <f>F34/(F34+Stoff!L34)</f>
        <v>1</v>
      </c>
      <c r="J34" s="285" t="str">
        <f>IF(B34="","",IF(ISNUMBER('1d. Kons. mettet sone'!E34),'1d. Kons. mettet sone'!E34,IF(ISNUMBER('1e. Kons. grunnvann'!E34),'1e. Kons. grunnvann'!E34*Mellomregninger!K34,0)))</f>
        <v/>
      </c>
      <c r="K34" s="286">
        <f>IF(Stoff!B34="uorganisk",Stoff!C34,Stoff!D34*'1a. Spredningsmodell input'!$C$24)</f>
        <v>0.11</v>
      </c>
      <c r="L34" s="27" t="e">
        <f>IF(ISNUMBER('1e. Kons. grunnvann'!E34),1000*'1e. Kons. grunnvann'!E34,1000*J34/K34)</f>
        <v>#VALUE!</v>
      </c>
      <c r="M34" s="34">
        <f>K34*'1a. Spredningsmodell input'!$C$25/'1a. Spredningsmodell input'!$C$26+1</f>
        <v>1.4675</v>
      </c>
      <c r="N34" s="284">
        <f>'1a. Spredningsmodell input'!$C$26/M34</f>
        <v>0.27257240204429301</v>
      </c>
      <c r="O34" s="287" t="e">
        <f>0.000000001*(J34*'1a. Spredningsmodell input'!$C$25+L34)*1000*'1a. Spredningsmodell input'!$B$45</f>
        <v>#VALUE!</v>
      </c>
      <c r="P34" s="287" t="e">
        <f>O34*Stoff!P34</f>
        <v>#VALUE!</v>
      </c>
      <c r="Q34" s="287">
        <f>N34/(N34+Stoff!M34)</f>
        <v>1</v>
      </c>
      <c r="R34" s="288">
        <f>IF(ISNUMBER('1f. Kons. resipient'!E34),'1f. Kons. resipient'!E34,0)</f>
        <v>0</v>
      </c>
      <c r="S34" s="288">
        <f>0.000000001*'1a. Spredningsmodell input'!$C$36*R34*1000</f>
        <v>0</v>
      </c>
      <c r="T34" s="288">
        <f>1/'1a. Spredningsmodell input'!$C$35</f>
        <v>1</v>
      </c>
      <c r="U34" s="288">
        <f>1/'1a. Spredningsmodell input'!$C$35</f>
        <v>1</v>
      </c>
      <c r="V34" s="300" t="e">
        <f>(1/($N34+Stoff!$L34))*(LN(($D34*$I34/($D34*$I34+$J34))*($F34+Stoff!$L34+$N34+Stoff!$M34)/($N34+Stoff!$M34)))</f>
        <v>#VALUE!</v>
      </c>
      <c r="W34" s="290" t="e">
        <f>($D34-Stoff!$P34*$D34)*EXP(-($F34+Stoff!$L34*365)*V34)</f>
        <v>#VALUE!</v>
      </c>
      <c r="X34" s="291" t="e">
        <f>(Stoff!$P34*$D34)*EXP(-'1a. Spredningsmodell input'!$B$43*V34)</f>
        <v>#VALUE!</v>
      </c>
      <c r="Y34" s="290" t="e">
        <f>($D34-Stoff!$P34*$D34-W34)*($F34/($F34+Stoff!$L34*365))</f>
        <v>#VALUE!</v>
      </c>
      <c r="Z34" s="290" t="e">
        <f>(Stoff!$P34*$D34)-X34</f>
        <v>#VALUE!</v>
      </c>
      <c r="AA34" s="290" t="e">
        <f>($O34+Y34)*EXP(-($N34+Stoff!$M34*365)*V34)</f>
        <v>#VALUE!</v>
      </c>
      <c r="AB34" s="290" t="e">
        <f>(Stoff!$P34*$O34+Z34)*EXP(-('1a. Spredningsmodell input'!$B$46)*V34)</f>
        <v>#VALUE!</v>
      </c>
      <c r="AC34" s="292" t="e">
        <f>((AA34+AB34)*1000000000)/('1a. Spredningsmodell input'!$B$45*1000)</f>
        <v>#VALUE!</v>
      </c>
      <c r="AD34" s="294" t="e">
        <f>0.001*AC34/('1a. Spredningsmodell input'!$C$25+'1a. Spredningsmodell input'!$C$26/Mellomregninger!$K34)</f>
        <v>#VALUE!</v>
      </c>
      <c r="AE34" s="294" t="e">
        <f>1000*AD34/$K34+AB34*1000000000/('1a. Spredningsmodell input'!$B$45*1000)</f>
        <v>#VALUE!</v>
      </c>
      <c r="AF34" s="294" t="e">
        <f t="shared" si="0"/>
        <v>#VALUE!</v>
      </c>
      <c r="AG34" s="294" t="e">
        <f>AB34*1000000000/('1a. Spredningsmodell input'!$B$45*1000)</f>
        <v>#VALUE!</v>
      </c>
      <c r="AH34" s="300" t="e">
        <f>(1/('1a. Spredningsmodell input'!$B$46))*(LN(($D34*Stoff!$P34/($D34*Stoff!$P34+$P34*Stoff!$P34))*('1a. Spredningsmodell input'!$B$43+'1a. Spredningsmodell input'!$B$46)/('1a. Spredningsmodell input'!$B$46)))</f>
        <v>#VALUE!</v>
      </c>
      <c r="AI34" s="290" t="e">
        <f>($D34-Stoff!$P34*$D34)*EXP(-($F34+Stoff!$L34*365)*AH34)</f>
        <v>#VALUE!</v>
      </c>
      <c r="AJ34" s="291" t="e">
        <f>(Stoff!$P34*$D34)*EXP(-'1a. Spredningsmodell input'!$B$43*AH34)</f>
        <v>#VALUE!</v>
      </c>
      <c r="AK34" s="290" t="e">
        <f>($D34-Stoff!$P34*$D34-AI34)*($F34/($F34+Stoff!$L34*365))</f>
        <v>#VALUE!</v>
      </c>
      <c r="AL34" s="290" t="e">
        <f>(Stoff!$P34*$D34)-AJ34</f>
        <v>#VALUE!</v>
      </c>
      <c r="AM34" s="290" t="e">
        <f>($O34+AK34)*EXP(-($N34+Stoff!$M34*365)*AH34)</f>
        <v>#VALUE!</v>
      </c>
      <c r="AN34" s="290" t="e">
        <f>(Stoff!$P34*$O34+AL34)*EXP(-('1a. Spredningsmodell input'!$B$46)*AH34)</f>
        <v>#VALUE!</v>
      </c>
      <c r="AO34" s="292" t="e">
        <f>((AM34+AN34)*1000000000)/('1a. Spredningsmodell input'!$B$45*1000)</f>
        <v>#VALUE!</v>
      </c>
      <c r="AP34" s="294" t="e">
        <f>0.001*AO34/('1a. Spredningsmodell input'!$C$25+'1a. Spredningsmodell input'!$C$26/Mellomregninger!$K34)</f>
        <v>#VALUE!</v>
      </c>
      <c r="AQ34" s="294" t="e">
        <f>1000*AP34/$K34+AN34*1000000000/('1a. Spredningsmodell input'!$B$45*1000)</f>
        <v>#VALUE!</v>
      </c>
      <c r="AR34" s="294" t="e">
        <f t="shared" si="1"/>
        <v>#VALUE!</v>
      </c>
      <c r="AS34" s="294" t="e">
        <f>AN34*1000000000/('1a. Spredningsmodell input'!$B$45*1000)</f>
        <v>#VALUE!</v>
      </c>
      <c r="AT34" s="295">
        <f t="shared" si="14"/>
        <v>5</v>
      </c>
      <c r="AU34" s="290" t="e">
        <f>($D34-Stoff!$P34*$D34)*EXP(-($F34+Stoff!$L34*365)*AT34)</f>
        <v>#VALUE!</v>
      </c>
      <c r="AV34" s="291" t="e">
        <f>(Stoff!$P34*$D34)*EXP(-'1a. Spredningsmodell input'!$B$43*AT34)</f>
        <v>#VALUE!</v>
      </c>
      <c r="AW34" s="290" t="e">
        <f>($D34-Stoff!$P34*$D34-AU34)*($F34/($F34+Stoff!$L34*365))</f>
        <v>#VALUE!</v>
      </c>
      <c r="AX34" s="290" t="e">
        <f>(Stoff!$P34*$D34)-AV34</f>
        <v>#VALUE!</v>
      </c>
      <c r="AY34" s="290" t="e">
        <f>($O34+AW34)*EXP(-($N34+Stoff!$M34*365)*AT34)</f>
        <v>#VALUE!</v>
      </c>
      <c r="AZ34" s="290" t="e">
        <f>(Stoff!$P34*$O34+AX34)*EXP(-('1a. Spredningsmodell input'!$B$46)*AT34)</f>
        <v>#VALUE!</v>
      </c>
      <c r="BA34" s="292" t="e">
        <f>((AY34+AZ34)*1000000000)/('1a. Spredningsmodell input'!$B$45*1000)</f>
        <v>#VALUE!</v>
      </c>
      <c r="BB34" s="294" t="e">
        <f>0.001*BA34/('1a. Spredningsmodell input'!$C$25+'1a. Spredningsmodell input'!$C$26/Mellomregninger!$K34)</f>
        <v>#VALUE!</v>
      </c>
      <c r="BC34" s="294" t="e">
        <f>1000*BB34/$K34+AZ34*1000000000/('1a. Spredningsmodell input'!$B$45*1000)</f>
        <v>#VALUE!</v>
      </c>
      <c r="BD34" s="294" t="e">
        <f t="shared" si="2"/>
        <v>#VALUE!</v>
      </c>
      <c r="BE34" s="294" t="e">
        <f>AZ34*1000000000/('1a. Spredningsmodell input'!$B$45*1000)</f>
        <v>#VALUE!</v>
      </c>
      <c r="BF34" s="295">
        <f t="shared" si="15"/>
        <v>20</v>
      </c>
      <c r="BG34" s="290" t="e">
        <f>($D34-Stoff!$P34*$D34)*EXP(-($F34+Stoff!$L34*365)*BF34)</f>
        <v>#VALUE!</v>
      </c>
      <c r="BH34" s="291" t="e">
        <f>(Stoff!$P34*$D34)*EXP(-'1a. Spredningsmodell input'!$B$43*BF34)</f>
        <v>#VALUE!</v>
      </c>
      <c r="BI34" s="290" t="e">
        <f>($D34-Stoff!$P34*$D34-BG34)*($F34/($F34+Stoff!$L34*365))</f>
        <v>#VALUE!</v>
      </c>
      <c r="BJ34" s="290" t="e">
        <f>(Stoff!$P34*$D34)-BH34</f>
        <v>#VALUE!</v>
      </c>
      <c r="BK34" s="290" t="e">
        <f>($O34+BI34)*EXP(-($N34+Stoff!$M34*365)*BF34)</f>
        <v>#VALUE!</v>
      </c>
      <c r="BL34" s="290" t="e">
        <f>(Stoff!$P34*$O34+BJ34)*EXP(-('1a. Spredningsmodell input'!$B$46)*BF34)</f>
        <v>#VALUE!</v>
      </c>
      <c r="BM34" s="292" t="e">
        <f>((BK34+BL34)*1000000000)/('1a. Spredningsmodell input'!$B$45*1000)</f>
        <v>#VALUE!</v>
      </c>
      <c r="BN34" s="294" t="e">
        <f>0.001*BM34/('1a. Spredningsmodell input'!$C$25+'1a. Spredningsmodell input'!$C$26/Mellomregninger!$K34)</f>
        <v>#VALUE!</v>
      </c>
      <c r="BO34" s="294" t="e">
        <f>1000*BN34/$K34+BL34*1000000000/('1a. Spredningsmodell input'!$B$45*1000)</f>
        <v>#VALUE!</v>
      </c>
      <c r="BP34" s="294" t="e">
        <f t="shared" si="3"/>
        <v>#VALUE!</v>
      </c>
      <c r="BQ34" s="294" t="e">
        <f>BL34*1000000000/('1a. Spredningsmodell input'!$B$45*1000)</f>
        <v>#VALUE!</v>
      </c>
      <c r="BR34" s="295">
        <f t="shared" si="16"/>
        <v>100</v>
      </c>
      <c r="BS34" s="290" t="e">
        <f>($D34-Stoff!$P34*$D34)*EXP(-($F34+Stoff!$L34*365)*BR34)</f>
        <v>#VALUE!</v>
      </c>
      <c r="BT34" s="291" t="e">
        <f>(Stoff!$P34*$D34)*EXP(-'1a. Spredningsmodell input'!$B$43*BR34)</f>
        <v>#VALUE!</v>
      </c>
      <c r="BU34" s="290" t="e">
        <f>($D34-Stoff!$P34*$D34-BS34)*($F34/($F34+Stoff!$L34*365))</f>
        <v>#VALUE!</v>
      </c>
      <c r="BV34" s="290" t="e">
        <f>(Stoff!$P34*$D34)-BT34</f>
        <v>#VALUE!</v>
      </c>
      <c r="BW34" s="290" t="e">
        <f>($O34+BU34)*EXP(-($N34+Stoff!$M34*365)*BR34)</f>
        <v>#VALUE!</v>
      </c>
      <c r="BX34" s="290" t="e">
        <f>(Stoff!$P34*$O34+BV34)*EXP(-('1a. Spredningsmodell input'!$B$46)*BR34)</f>
        <v>#VALUE!</v>
      </c>
      <c r="BY34" s="292" t="e">
        <f>((BW34+BX34)*1000000000)/('1a. Spredningsmodell input'!$B$45*1000)</f>
        <v>#VALUE!</v>
      </c>
      <c r="BZ34" s="294" t="e">
        <f>0.001*BY34/('1a. Spredningsmodell input'!$C$25+'1a. Spredningsmodell input'!$C$26/Mellomregninger!$K34)</f>
        <v>#VALUE!</v>
      </c>
      <c r="CA34" s="294" t="e">
        <f>1000*BZ34/$K34+BX34*1000000000/('1a. Spredningsmodell input'!$B$45*1000)</f>
        <v>#VALUE!</v>
      </c>
      <c r="CB34" s="294" t="e">
        <f t="shared" si="4"/>
        <v>#VALUE!</v>
      </c>
      <c r="CC34" s="294" t="e">
        <f>BX34*1000000000/('1a. Spredningsmodell input'!$B$45*1000)</f>
        <v>#VALUE!</v>
      </c>
      <c r="CD34" s="294" t="e">
        <f>V34+'1a. Spredningsmodell input'!$C$35</f>
        <v>#VALUE!</v>
      </c>
      <c r="CE34" s="294" t="e">
        <f>($S34+$Q34*($O34+$I34*($D34*(1-Stoff!$P34))*(1-EXP(-($F34+Stoff!$L34*365)*CD34)))*(1-EXP(-($N34+Stoff!$M34*365)*CD34)))</f>
        <v>#VALUE!</v>
      </c>
      <c r="CF34" s="294" t="e">
        <f t="shared" si="5"/>
        <v>#VALUE!</v>
      </c>
      <c r="CG34" s="296" t="e">
        <f>(CF34/1000000)*'1a. Spredningsmodell input'!$B$49*'1a. Spredningsmodell input'!$C$35</f>
        <v>#VALUE!</v>
      </c>
      <c r="CH34" s="294" t="e">
        <f t="shared" si="17"/>
        <v>#VALUE!</v>
      </c>
      <c r="CI34" s="290" t="e">
        <f>(CH34/1000000)*'1a. Spredningsmodell input'!$B$49*'1a. Spredningsmodell input'!$C$35</f>
        <v>#VALUE!</v>
      </c>
      <c r="CJ34" s="297" t="e">
        <f>($S34)*EXP(-(Stoff!$N34*365+$U34)*CD34)+CG34</f>
        <v>#VALUE!</v>
      </c>
      <c r="CK34" s="297" t="e">
        <f>(Stoff!$P34*$S34+CI34)*EXP(-$T34*CD34)</f>
        <v>#VALUE!</v>
      </c>
      <c r="CL34" s="297" t="e">
        <f>(CJ34+CK34)*1000000000/('1a. Spredningsmodell input'!$C$36*1000)</f>
        <v>#VALUE!</v>
      </c>
      <c r="CM34" s="297" t="e">
        <f>$G34*(1-EXP(-'1a. Spredningsmodell input'!$B$43*Mellomregninger!CD34))*(1-EXP(-'1a. Spredningsmodell input'!$B$46*Mellomregninger!CD34))</f>
        <v>#VALUE!</v>
      </c>
      <c r="CN34" s="297"/>
      <c r="CO34" s="297"/>
      <c r="CP34" s="290">
        <f>IF(ISNUMBER(AH34),AH34+'1a. Spredningsmodell input'!$C$35,'1a. Spredningsmodell input'!$C$35)</f>
        <v>1</v>
      </c>
      <c r="CQ34" s="294" t="e">
        <f>($S34+$Q34*($O34+$I34*($D34*(1-Stoff!$P34))*(1-EXP(-($F34+Stoff!$L34*365)*CP34)))*(1-EXP(-($N34+Stoff!$M34*365)*CP34)))</f>
        <v>#VALUE!</v>
      </c>
      <c r="CR34" s="294" t="e">
        <f t="shared" si="6"/>
        <v>#VALUE!</v>
      </c>
      <c r="CS34" s="296" t="e">
        <f>(CR34/1000000)*('1a. Spredningsmodell input'!$B$49*'1a. Spredningsmodell input'!$C$35)</f>
        <v>#VALUE!</v>
      </c>
      <c r="CT34" s="294" t="e">
        <f t="shared" si="7"/>
        <v>#VALUE!</v>
      </c>
      <c r="CU34" s="290" t="e">
        <f>(CT34/1000000)*('1a. Spredningsmodell input'!$B$49)*'1a. Spredningsmodell input'!$C$35</f>
        <v>#VALUE!</v>
      </c>
      <c r="CV34" s="297" t="e">
        <f>($S34)*EXP(-(Stoff!$N34*365+$U34)*CP34)+CS34</f>
        <v>#VALUE!</v>
      </c>
      <c r="CW34" s="297" t="e">
        <f>(Stoff!$P34*$S34+CU34)*EXP(-$T34*CP34)</f>
        <v>#VALUE!</v>
      </c>
      <c r="CX34" s="297">
        <f>IF(ISERROR(CV34),0,(CV34+CW34)*1000000000/('1a. Spredningsmodell input'!$C$36*1000))</f>
        <v>0</v>
      </c>
      <c r="CY34" s="297" t="e">
        <f>$G34*(1-EXP(-'1a. Spredningsmodell input'!$B$43*Mellomregninger!CP34))*(1-EXP(-'1a. Spredningsmodell input'!$B$46*Mellomregninger!CP34))</f>
        <v>#VALUE!</v>
      </c>
      <c r="CZ34" s="297"/>
      <c r="DA34" s="297"/>
      <c r="DB34" s="262">
        <f t="shared" si="18"/>
        <v>5</v>
      </c>
      <c r="DC34" s="298" t="e">
        <f>($S34+$Q34*($O34+$I34*($D34*(1-Stoff!$P34))*(1-EXP(-($F34+Stoff!$L34*365)*DB34)))*(1-EXP(-($N34+Stoff!$M34*365)*DB34)))</f>
        <v>#VALUE!</v>
      </c>
      <c r="DD34" s="294" t="e">
        <f t="shared" si="8"/>
        <v>#VALUE!</v>
      </c>
      <c r="DE34" s="296" t="e">
        <f>(DD34/1000000)*('1a. Spredningsmodell input'!$B$49)*'1a. Spredningsmodell input'!$C$35</f>
        <v>#VALUE!</v>
      </c>
      <c r="DF34" s="294" t="e">
        <f t="shared" si="19"/>
        <v>#VALUE!</v>
      </c>
      <c r="DG34" s="290" t="e">
        <f>(DF34/1000000)*('1a. Spredningsmodell input'!$B$49)*'1a. Spredningsmodell input'!$C$35</f>
        <v>#VALUE!</v>
      </c>
      <c r="DH34" s="297" t="e">
        <f>($S34)*EXP(-(Stoff!$N34*365+$U34)*DB34)+DE34</f>
        <v>#VALUE!</v>
      </c>
      <c r="DI34" s="297" t="e">
        <f>(Stoff!$P34*$S34+DG34)*EXP(-$T34*DB34)</f>
        <v>#VALUE!</v>
      </c>
      <c r="DJ34" s="297" t="e">
        <f>(DH34+DI34)*1000000000/('1a. Spredningsmodell input'!$C$36*1000)</f>
        <v>#VALUE!</v>
      </c>
      <c r="DK34" s="297" t="e">
        <f>$G34*(1-EXP(-'1a. Spredningsmodell input'!$B$43*Mellomregninger!DB34))*(1-EXP(-'1a. Spredningsmodell input'!$B$46*Mellomregninger!DB34))</f>
        <v>#VALUE!</v>
      </c>
      <c r="DL34" s="297"/>
      <c r="DM34" s="297"/>
      <c r="DN34" s="262">
        <f t="shared" si="20"/>
        <v>20</v>
      </c>
      <c r="DO34" s="298" t="e">
        <f>($S34+$Q34*($O34+$I34*($D34*(1-Stoff!$P34))*(1-EXP(-($F34+Stoff!$L34*365)*DN34)))*(1-EXP(-($N34+Stoff!$M34*365)*DN34)))</f>
        <v>#VALUE!</v>
      </c>
      <c r="DP34" s="294" t="e">
        <f t="shared" si="21"/>
        <v>#VALUE!</v>
      </c>
      <c r="DQ34" s="296" t="e">
        <f>(DP34/1000000)*('1a. Spredningsmodell input'!$B$49)*'1a. Spredningsmodell input'!$C$35</f>
        <v>#VALUE!</v>
      </c>
      <c r="DR34" s="294" t="e">
        <f t="shared" si="9"/>
        <v>#VALUE!</v>
      </c>
      <c r="DS34" s="290" t="e">
        <f>(DR34/1000000)*('1a. Spredningsmodell input'!$B$49)*'1a. Spredningsmodell input'!$C$35</f>
        <v>#VALUE!</v>
      </c>
      <c r="DT34" s="297" t="e">
        <f>($S34)*EXP(-(Stoff!$N34*365+$U34)*DN34)+DQ34</f>
        <v>#VALUE!</v>
      </c>
      <c r="DU34" s="297" t="e">
        <f>(Stoff!$P34*$S34+DS34)*EXP(-$T34*DN34)</f>
        <v>#VALUE!</v>
      </c>
      <c r="DV34" s="297" t="e">
        <f>(DT34+DU34)*1000000000/('1a. Spredningsmodell input'!$C$36*1000)</f>
        <v>#VALUE!</v>
      </c>
      <c r="DW34" s="297" t="e">
        <f>$G34*(1-EXP(-'1a. Spredningsmodell input'!$B$43*Mellomregninger!DN34))*(1-EXP(-'1a. Spredningsmodell input'!$B$46*Mellomregninger!DN34))</f>
        <v>#VALUE!</v>
      </c>
      <c r="DX34" s="297"/>
      <c r="DY34" s="297"/>
      <c r="DZ34" s="262">
        <f t="shared" si="22"/>
        <v>100</v>
      </c>
      <c r="EA34" s="298" t="e">
        <f>($S34+$Q34*($O34+$I34*($D34*(1-Stoff!$P34))*(1-EXP(-($F34+Stoff!$L34*365)*DZ34)))*(1-EXP(-($N34+Stoff!$M34*365)*DZ34)))</f>
        <v>#VALUE!</v>
      </c>
      <c r="EB34" s="294" t="e">
        <f t="shared" si="10"/>
        <v>#VALUE!</v>
      </c>
      <c r="EC34" s="296" t="e">
        <f>(EB34/1000000)*('1a. Spredningsmodell input'!$B$49)*'1a. Spredningsmodell input'!$C$35</f>
        <v>#VALUE!</v>
      </c>
      <c r="ED34" s="294" t="e">
        <f t="shared" si="11"/>
        <v>#VALUE!</v>
      </c>
      <c r="EE34" s="290" t="e">
        <f>(ED34/1000000)*('1a. Spredningsmodell input'!$B$49)*'1a. Spredningsmodell input'!$C$35</f>
        <v>#VALUE!</v>
      </c>
      <c r="EF34" s="297" t="e">
        <f>($S34)*EXP(-(Stoff!$N34*365+$U34)*DZ34)+EC34</f>
        <v>#VALUE!</v>
      </c>
      <c r="EG34" s="297" t="e">
        <f>(Stoff!$P34*$S34+EE34)*EXP(-$T34*DZ34)</f>
        <v>#VALUE!</v>
      </c>
      <c r="EH34" s="297" t="e">
        <f>(EF34+EG34)*1000000000/('1a. Spredningsmodell input'!$C$36*1000)</f>
        <v>#VALUE!</v>
      </c>
      <c r="EI34" s="297" t="e">
        <f>$G34*(1-EXP(-'1a. Spredningsmodell input'!$B$43*Mellomregninger!DZ34))*(1-EXP(-'1a. Spredningsmodell input'!$B$46*Mellomregninger!DZ34))</f>
        <v>#VALUE!</v>
      </c>
      <c r="EJ34" s="297"/>
      <c r="EK34" s="297"/>
      <c r="EL34" s="262">
        <f t="shared" si="23"/>
        <v>1.0000000000000001E+25</v>
      </c>
      <c r="EM34" s="294" t="e">
        <f>($S34+$Q34*($O34+$I34*($D34*(1-Stoff!$P34))*(1-EXP(-($F34+Stoff!$L34*365)*EL34)))*(1-EXP(-($N34+Stoff!$M34*365)*EL34)))</f>
        <v>#VALUE!</v>
      </c>
      <c r="EN34" s="296" t="e">
        <f>($S34+$Q34*($O34+$I34*($D34*(1-Stoff!$P34))*(1-EXP(-($F34+Stoff!$L34*365)*(EL34-'1a. Spredningsmodell input'!$C$35))))*(1-EXP(-($N34+Stoff!$M34*365)*(EL34-'1a. Spredningsmodell input'!$C$35))))</f>
        <v>#VALUE!</v>
      </c>
      <c r="EO34" s="294" t="e">
        <f>IF(EL34&lt;'1a. Spredningsmodell input'!$C$35,EM34-($S34)*EXP(-(Stoff!$N34*365+$U34)*EL34),EM34-EN34)</f>
        <v>#VALUE!</v>
      </c>
      <c r="EP34" s="290" t="e">
        <f>((($D34*(Stoff!$P34))*(1-EXP(-'1a. Spredningsmodell input'!$B$43*EL34)))*(1-EXP(-'1a. Spredningsmodell input'!$B$46*EL34)))</f>
        <v>#VALUE!</v>
      </c>
      <c r="EQ34" s="294" t="e">
        <f>((($D34*(Stoff!$P34))*(1-EXP(-'1a. Spredningsmodell input'!$B$43*(EL34-'1a. Spredningsmodell input'!$C$35))))*(1-EXP(-'1a. Spredningsmodell input'!$B$46*(EL34-'1a. Spredningsmodell input'!$C$35))))</f>
        <v>#VALUE!</v>
      </c>
      <c r="ER34" s="290" t="e">
        <f>IF(EL34&lt;'1a. Spredningsmodell input'!$C$35,0,EP34-EQ34)</f>
        <v>#VALUE!</v>
      </c>
      <c r="ES34" s="297" t="e">
        <f>($S34)*EXP(-(Stoff!$N34*365+$U34)*EL34)+EO34</f>
        <v>#VALUE!</v>
      </c>
      <c r="ET34" s="297" t="e">
        <f>(Stoff!$P34*$S34+ER34)*EXP(-$T34*EL34)</f>
        <v>#VALUE!</v>
      </c>
      <c r="EU34" s="297" t="e">
        <f>(ES34+ET34)*1000000000/('1a. Spredningsmodell input'!$C$36*1000)</f>
        <v>#VALUE!</v>
      </c>
      <c r="EV34" s="262" t="e">
        <f t="shared" si="12"/>
        <v>#VALUE!</v>
      </c>
      <c r="EW34" s="299" t="e">
        <f t="shared" si="13"/>
        <v>#VALUE!</v>
      </c>
      <c r="EX34" s="262" t="e">
        <f t="shared" si="24"/>
        <v>#VALUE!</v>
      </c>
    </row>
    <row r="35" spans="1:154" x14ac:dyDescent="0.35">
      <c r="A35" s="50" t="s">
        <v>175</v>
      </c>
      <c r="B35" s="34" t="str">
        <f>IF(ISNUMBER('1c. Kons. porevann'!E35),1000*'1c. Kons. porevann'!E35,IF(ISNUMBER('1b. Kons. umettet jord'!E35),1000*'1b. Kons. umettet jord'!E35/C35,""))</f>
        <v/>
      </c>
      <c r="C35" s="244">
        <f>IF(Stoff!B35="uorganisk",Stoff!C35,Stoff!D35*'1a. Spredningsmodell input'!$C$11)</f>
        <v>0.8</v>
      </c>
      <c r="D35" s="34" t="str">
        <f>IF(ISNUMBER(B35),0.000001*('1b. Kons. umettet jord'!G35*'1a. Spredningsmodell input'!$C$12+B35*0.001*'1a. Spredningsmodell input'!$C$14)*1000*'1a. Spredningsmodell input'!$B$41*'1a. Spredningsmodell input'!$C$18,"")</f>
        <v/>
      </c>
      <c r="E35" s="283">
        <f>C35*'1a. Spredningsmodell input'!$C$12/'1a. Spredningsmodell input'!$C$14+1</f>
        <v>7.8</v>
      </c>
      <c r="F35" s="284">
        <f>'1a. Spredningsmodell input'!$B$43/E35</f>
        <v>0.19230769230769229</v>
      </c>
      <c r="G35" s="34" t="e">
        <f>Stoff!P35*Mellomregninger!D35</f>
        <v>#VALUE!</v>
      </c>
      <c r="H35" s="283" t="e">
        <f>(D35-G35)*(F35/(F35+Stoff!L35))</f>
        <v>#VALUE!</v>
      </c>
      <c r="I35" s="283">
        <f>F35/(F35+Stoff!L35)</f>
        <v>1</v>
      </c>
      <c r="J35" s="285" t="str">
        <f>IF(B35="","",IF(ISNUMBER('1d. Kons. mettet sone'!E35),'1d. Kons. mettet sone'!E35,IF(ISNUMBER('1e. Kons. grunnvann'!E35),'1e. Kons. grunnvann'!E35*Mellomregninger!K35,0)))</f>
        <v/>
      </c>
      <c r="K35" s="286">
        <f>IF(Stoff!B35="uorganisk",Stoff!C35,Stoff!D35*'1a. Spredningsmodell input'!$C$24)</f>
        <v>0.08</v>
      </c>
      <c r="L35" s="27" t="e">
        <f>IF(ISNUMBER('1e. Kons. grunnvann'!E35),1000*'1e. Kons. grunnvann'!E35,1000*J35/K35)</f>
        <v>#VALUE!</v>
      </c>
      <c r="M35" s="34">
        <f>K35*'1a. Spredningsmodell input'!$C$25/'1a. Spredningsmodell input'!$C$26+1</f>
        <v>1.34</v>
      </c>
      <c r="N35" s="284">
        <f>'1a. Spredningsmodell input'!$C$26/M35</f>
        <v>0.29850746268656714</v>
      </c>
      <c r="O35" s="287" t="e">
        <f>0.000000001*(J35*'1a. Spredningsmodell input'!$C$25+L35)*1000*'1a. Spredningsmodell input'!$B$45</f>
        <v>#VALUE!</v>
      </c>
      <c r="P35" s="287" t="e">
        <f>O35*Stoff!P35</f>
        <v>#VALUE!</v>
      </c>
      <c r="Q35" s="287">
        <f>N35/(N35+Stoff!M35)</f>
        <v>1</v>
      </c>
      <c r="R35" s="288">
        <f>IF(ISNUMBER('1f. Kons. resipient'!E35),'1f. Kons. resipient'!E35,0)</f>
        <v>0</v>
      </c>
      <c r="S35" s="288">
        <f>0.000000001*'1a. Spredningsmodell input'!$C$36*R35*1000</f>
        <v>0</v>
      </c>
      <c r="T35" s="288">
        <f>1/'1a. Spredningsmodell input'!$C$35</f>
        <v>1</v>
      </c>
      <c r="U35" s="288">
        <f>1/'1a. Spredningsmodell input'!$C$35</f>
        <v>1</v>
      </c>
      <c r="V35" s="300" t="e">
        <f>(1/($N35+Stoff!$L35))*(LN(($D35*$I35/($D35*$I35+$J35))*($F35+Stoff!$L35+$N35+Stoff!$M35)/($N35+Stoff!$M35)))</f>
        <v>#VALUE!</v>
      </c>
      <c r="W35" s="290" t="e">
        <f>($D35-Stoff!$P35*$D35)*EXP(-($F35+Stoff!$L35*365)*V35)</f>
        <v>#VALUE!</v>
      </c>
      <c r="X35" s="291" t="e">
        <f>(Stoff!$P35*$D35)*EXP(-'1a. Spredningsmodell input'!$B$43*V35)</f>
        <v>#VALUE!</v>
      </c>
      <c r="Y35" s="290" t="e">
        <f>($D35-Stoff!$P35*$D35-W35)*($F35/($F35+Stoff!$L35*365))</f>
        <v>#VALUE!</v>
      </c>
      <c r="Z35" s="290" t="e">
        <f>(Stoff!$P35*$D35)-X35</f>
        <v>#VALUE!</v>
      </c>
      <c r="AA35" s="290" t="e">
        <f>($O35+Y35)*EXP(-($N35+Stoff!$M35*365)*V35)</f>
        <v>#VALUE!</v>
      </c>
      <c r="AB35" s="290" t="e">
        <f>(Stoff!$P35*$O35+Z35)*EXP(-('1a. Spredningsmodell input'!$B$46)*V35)</f>
        <v>#VALUE!</v>
      </c>
      <c r="AC35" s="292" t="e">
        <f>((AA35+AB35)*1000000000)/('1a. Spredningsmodell input'!$B$45*1000)</f>
        <v>#VALUE!</v>
      </c>
      <c r="AD35" s="294" t="e">
        <f>0.001*AC35/('1a. Spredningsmodell input'!$C$25+'1a. Spredningsmodell input'!$C$26/Mellomregninger!$K35)</f>
        <v>#VALUE!</v>
      </c>
      <c r="AE35" s="294" t="e">
        <f>1000*AD35/$K35+AB35*1000000000/('1a. Spredningsmodell input'!$B$45*1000)</f>
        <v>#VALUE!</v>
      </c>
      <c r="AF35" s="294" t="e">
        <f t="shared" si="0"/>
        <v>#VALUE!</v>
      </c>
      <c r="AG35" s="294" t="e">
        <f>AB35*1000000000/('1a. Spredningsmodell input'!$B$45*1000)</f>
        <v>#VALUE!</v>
      </c>
      <c r="AH35" s="300" t="e">
        <f>(1/('1a. Spredningsmodell input'!$B$46))*(LN(($D35*Stoff!$P35/($D35*Stoff!$P35+$P35*Stoff!$P35))*('1a. Spredningsmodell input'!$B$43+'1a. Spredningsmodell input'!$B$46)/('1a. Spredningsmodell input'!$B$46)))</f>
        <v>#VALUE!</v>
      </c>
      <c r="AI35" s="290" t="e">
        <f>($D35-Stoff!$P35*$D35)*EXP(-($F35+Stoff!$L35*365)*AH35)</f>
        <v>#VALUE!</v>
      </c>
      <c r="AJ35" s="291" t="e">
        <f>(Stoff!$P35*$D35)*EXP(-'1a. Spredningsmodell input'!$B$43*AH35)</f>
        <v>#VALUE!</v>
      </c>
      <c r="AK35" s="290" t="e">
        <f>($D35-Stoff!$P35*$D35-AI35)*($F35/($F35+Stoff!$L35*365))</f>
        <v>#VALUE!</v>
      </c>
      <c r="AL35" s="290" t="e">
        <f>(Stoff!$P35*$D35)-AJ35</f>
        <v>#VALUE!</v>
      </c>
      <c r="AM35" s="290" t="e">
        <f>($O35+AK35)*EXP(-($N35+Stoff!$M35*365)*AH35)</f>
        <v>#VALUE!</v>
      </c>
      <c r="AN35" s="290" t="e">
        <f>(Stoff!$P35*$O35+AL35)*EXP(-('1a. Spredningsmodell input'!$B$46)*AH35)</f>
        <v>#VALUE!</v>
      </c>
      <c r="AO35" s="292" t="e">
        <f>((AM35+AN35)*1000000000)/('1a. Spredningsmodell input'!$B$45*1000)</f>
        <v>#VALUE!</v>
      </c>
      <c r="AP35" s="294" t="e">
        <f>0.001*AO35/('1a. Spredningsmodell input'!$C$25+'1a. Spredningsmodell input'!$C$26/Mellomregninger!$K35)</f>
        <v>#VALUE!</v>
      </c>
      <c r="AQ35" s="294" t="e">
        <f>1000*AP35/$K35+AN35*1000000000/('1a. Spredningsmodell input'!$B$45*1000)</f>
        <v>#VALUE!</v>
      </c>
      <c r="AR35" s="294" t="e">
        <f t="shared" si="1"/>
        <v>#VALUE!</v>
      </c>
      <c r="AS35" s="294" t="e">
        <f>AN35*1000000000/('1a. Spredningsmodell input'!$B$45*1000)</f>
        <v>#VALUE!</v>
      </c>
      <c r="AT35" s="295">
        <f t="shared" si="14"/>
        <v>5</v>
      </c>
      <c r="AU35" s="290" t="e">
        <f>($D35-Stoff!$P35*$D35)*EXP(-($F35+Stoff!$L35*365)*AT35)</f>
        <v>#VALUE!</v>
      </c>
      <c r="AV35" s="291" t="e">
        <f>(Stoff!$P35*$D35)*EXP(-'1a. Spredningsmodell input'!$B$43*AT35)</f>
        <v>#VALUE!</v>
      </c>
      <c r="AW35" s="290" t="e">
        <f>($D35-Stoff!$P35*$D35-AU35)*($F35/($F35+Stoff!$L35*365))</f>
        <v>#VALUE!</v>
      </c>
      <c r="AX35" s="290" t="e">
        <f>(Stoff!$P35*$D35)-AV35</f>
        <v>#VALUE!</v>
      </c>
      <c r="AY35" s="290" t="e">
        <f>($O35+AW35)*EXP(-($N35+Stoff!$M35*365)*AT35)</f>
        <v>#VALUE!</v>
      </c>
      <c r="AZ35" s="290" t="e">
        <f>(Stoff!$P35*$O35+AX35)*EXP(-('1a. Spredningsmodell input'!$B$46)*AT35)</f>
        <v>#VALUE!</v>
      </c>
      <c r="BA35" s="292" t="e">
        <f>((AY35+AZ35)*1000000000)/('1a. Spredningsmodell input'!$B$45*1000)</f>
        <v>#VALUE!</v>
      </c>
      <c r="BB35" s="294" t="e">
        <f>0.001*BA35/('1a. Spredningsmodell input'!$C$25+'1a. Spredningsmodell input'!$C$26/Mellomregninger!$K35)</f>
        <v>#VALUE!</v>
      </c>
      <c r="BC35" s="294" t="e">
        <f>1000*BB35/$K35+AZ35*1000000000/('1a. Spredningsmodell input'!$B$45*1000)</f>
        <v>#VALUE!</v>
      </c>
      <c r="BD35" s="294" t="e">
        <f t="shared" si="2"/>
        <v>#VALUE!</v>
      </c>
      <c r="BE35" s="294" t="e">
        <f>AZ35*1000000000/('1a. Spredningsmodell input'!$B$45*1000)</f>
        <v>#VALUE!</v>
      </c>
      <c r="BF35" s="295">
        <f t="shared" si="15"/>
        <v>20</v>
      </c>
      <c r="BG35" s="290" t="e">
        <f>($D35-Stoff!$P35*$D35)*EXP(-($F35+Stoff!$L35*365)*BF35)</f>
        <v>#VALUE!</v>
      </c>
      <c r="BH35" s="291" t="e">
        <f>(Stoff!$P35*$D35)*EXP(-'1a. Spredningsmodell input'!$B$43*BF35)</f>
        <v>#VALUE!</v>
      </c>
      <c r="BI35" s="290" t="e">
        <f>($D35-Stoff!$P35*$D35-BG35)*($F35/($F35+Stoff!$L35*365))</f>
        <v>#VALUE!</v>
      </c>
      <c r="BJ35" s="290" t="e">
        <f>(Stoff!$P35*$D35)-BH35</f>
        <v>#VALUE!</v>
      </c>
      <c r="BK35" s="290" t="e">
        <f>($O35+BI35)*EXP(-($N35+Stoff!$M35*365)*BF35)</f>
        <v>#VALUE!</v>
      </c>
      <c r="BL35" s="290" t="e">
        <f>(Stoff!$P35*$O35+BJ35)*EXP(-('1a. Spredningsmodell input'!$B$46)*BF35)</f>
        <v>#VALUE!</v>
      </c>
      <c r="BM35" s="292" t="e">
        <f>((BK35+BL35)*1000000000)/('1a. Spredningsmodell input'!$B$45*1000)</f>
        <v>#VALUE!</v>
      </c>
      <c r="BN35" s="294" t="e">
        <f>0.001*BM35/('1a. Spredningsmodell input'!$C$25+'1a. Spredningsmodell input'!$C$26/Mellomregninger!$K35)</f>
        <v>#VALUE!</v>
      </c>
      <c r="BO35" s="294" t="e">
        <f>1000*BN35/$K35+BL35*1000000000/('1a. Spredningsmodell input'!$B$45*1000)</f>
        <v>#VALUE!</v>
      </c>
      <c r="BP35" s="294" t="e">
        <f t="shared" si="3"/>
        <v>#VALUE!</v>
      </c>
      <c r="BQ35" s="294" t="e">
        <f>BL35*1000000000/('1a. Spredningsmodell input'!$B$45*1000)</f>
        <v>#VALUE!</v>
      </c>
      <c r="BR35" s="295">
        <f t="shared" si="16"/>
        <v>100</v>
      </c>
      <c r="BS35" s="290" t="e">
        <f>($D35-Stoff!$P35*$D35)*EXP(-($F35+Stoff!$L35*365)*BR35)</f>
        <v>#VALUE!</v>
      </c>
      <c r="BT35" s="291" t="e">
        <f>(Stoff!$P35*$D35)*EXP(-'1a. Spredningsmodell input'!$B$43*BR35)</f>
        <v>#VALUE!</v>
      </c>
      <c r="BU35" s="290" t="e">
        <f>($D35-Stoff!$P35*$D35-BS35)*($F35/($F35+Stoff!$L35*365))</f>
        <v>#VALUE!</v>
      </c>
      <c r="BV35" s="290" t="e">
        <f>(Stoff!$P35*$D35)-BT35</f>
        <v>#VALUE!</v>
      </c>
      <c r="BW35" s="290" t="e">
        <f>($O35+BU35)*EXP(-($N35+Stoff!$M35*365)*BR35)</f>
        <v>#VALUE!</v>
      </c>
      <c r="BX35" s="290" t="e">
        <f>(Stoff!$P35*$O35+BV35)*EXP(-('1a. Spredningsmodell input'!$B$46)*BR35)</f>
        <v>#VALUE!</v>
      </c>
      <c r="BY35" s="292" t="e">
        <f>((BW35+BX35)*1000000000)/('1a. Spredningsmodell input'!$B$45*1000)</f>
        <v>#VALUE!</v>
      </c>
      <c r="BZ35" s="294" t="e">
        <f>0.001*BY35/('1a. Spredningsmodell input'!$C$25+'1a. Spredningsmodell input'!$C$26/Mellomregninger!$K35)</f>
        <v>#VALUE!</v>
      </c>
      <c r="CA35" s="294" t="e">
        <f>1000*BZ35/$K35+BX35*1000000000/('1a. Spredningsmodell input'!$B$45*1000)</f>
        <v>#VALUE!</v>
      </c>
      <c r="CB35" s="294" t="e">
        <f t="shared" si="4"/>
        <v>#VALUE!</v>
      </c>
      <c r="CC35" s="294" t="e">
        <f>BX35*1000000000/('1a. Spredningsmodell input'!$B$45*1000)</f>
        <v>#VALUE!</v>
      </c>
      <c r="CD35" s="294" t="e">
        <f>V35+'1a. Spredningsmodell input'!$C$35</f>
        <v>#VALUE!</v>
      </c>
      <c r="CE35" s="294" t="e">
        <f>($S35+$Q35*($O35+$I35*($D35*(1-Stoff!$P35))*(1-EXP(-($F35+Stoff!$L35*365)*CD35)))*(1-EXP(-($N35+Stoff!$M35*365)*CD35)))</f>
        <v>#VALUE!</v>
      </c>
      <c r="CF35" s="294" t="e">
        <f t="shared" si="5"/>
        <v>#VALUE!</v>
      </c>
      <c r="CG35" s="296" t="e">
        <f>(CF35/1000000)*'1a. Spredningsmodell input'!$B$49*'1a. Spredningsmodell input'!$C$35</f>
        <v>#VALUE!</v>
      </c>
      <c r="CH35" s="294" t="e">
        <f t="shared" si="17"/>
        <v>#VALUE!</v>
      </c>
      <c r="CI35" s="290" t="e">
        <f>(CH35/1000000)*'1a. Spredningsmodell input'!$B$49*'1a. Spredningsmodell input'!$C$35</f>
        <v>#VALUE!</v>
      </c>
      <c r="CJ35" s="297" t="e">
        <f>($S35)*EXP(-(Stoff!$N35*365+$U35)*CD35)+CG35</f>
        <v>#VALUE!</v>
      </c>
      <c r="CK35" s="297" t="e">
        <f>(Stoff!$P35*$S35+CI35)*EXP(-$T35*CD35)</f>
        <v>#VALUE!</v>
      </c>
      <c r="CL35" s="297" t="e">
        <f>(CJ35+CK35)*1000000000/('1a. Spredningsmodell input'!$C$36*1000)</f>
        <v>#VALUE!</v>
      </c>
      <c r="CM35" s="297" t="e">
        <f>$G35*(1-EXP(-'1a. Spredningsmodell input'!$B$43*Mellomregninger!CD35))*(1-EXP(-'1a. Spredningsmodell input'!$B$46*Mellomregninger!CD35))</f>
        <v>#VALUE!</v>
      </c>
      <c r="CN35" s="297"/>
      <c r="CO35" s="297"/>
      <c r="CP35" s="290">
        <f>IF(ISNUMBER(AH35),AH35+'1a. Spredningsmodell input'!$C$35,'1a. Spredningsmodell input'!$C$35)</f>
        <v>1</v>
      </c>
      <c r="CQ35" s="294" t="e">
        <f>($S35+$Q35*($O35+$I35*($D35*(1-Stoff!$P35))*(1-EXP(-($F35+Stoff!$L35*365)*CP35)))*(1-EXP(-($N35+Stoff!$M35*365)*CP35)))</f>
        <v>#VALUE!</v>
      </c>
      <c r="CR35" s="294" t="e">
        <f t="shared" si="6"/>
        <v>#VALUE!</v>
      </c>
      <c r="CS35" s="296" t="e">
        <f>(CR35/1000000)*('1a. Spredningsmodell input'!$B$49*'1a. Spredningsmodell input'!$C$35)</f>
        <v>#VALUE!</v>
      </c>
      <c r="CT35" s="294" t="e">
        <f t="shared" si="7"/>
        <v>#VALUE!</v>
      </c>
      <c r="CU35" s="290" t="e">
        <f>(CT35/1000000)*('1a. Spredningsmodell input'!$B$49)*'1a. Spredningsmodell input'!$C$35</f>
        <v>#VALUE!</v>
      </c>
      <c r="CV35" s="297" t="e">
        <f>($S35)*EXP(-(Stoff!$N35*365+$U35)*CP35)+CS35</f>
        <v>#VALUE!</v>
      </c>
      <c r="CW35" s="297" t="e">
        <f>(Stoff!$P35*$S35+CU35)*EXP(-$T35*CP35)</f>
        <v>#VALUE!</v>
      </c>
      <c r="CX35" s="297">
        <f>IF(ISERROR(CV35),0,(CV35+CW35)*1000000000/('1a. Spredningsmodell input'!$C$36*1000))</f>
        <v>0</v>
      </c>
      <c r="CY35" s="297" t="e">
        <f>$G35*(1-EXP(-'1a. Spredningsmodell input'!$B$43*Mellomregninger!CP35))*(1-EXP(-'1a. Spredningsmodell input'!$B$46*Mellomregninger!CP35))</f>
        <v>#VALUE!</v>
      </c>
      <c r="CZ35" s="297"/>
      <c r="DA35" s="297"/>
      <c r="DB35" s="262">
        <f t="shared" si="18"/>
        <v>5</v>
      </c>
      <c r="DC35" s="298" t="e">
        <f>($S35+$Q35*($O35+$I35*($D35*(1-Stoff!$P35))*(1-EXP(-($F35+Stoff!$L35*365)*DB35)))*(1-EXP(-($N35+Stoff!$M35*365)*DB35)))</f>
        <v>#VALUE!</v>
      </c>
      <c r="DD35" s="294" t="e">
        <f t="shared" si="8"/>
        <v>#VALUE!</v>
      </c>
      <c r="DE35" s="296" t="e">
        <f>(DD35/1000000)*('1a. Spredningsmodell input'!$B$49)*'1a. Spredningsmodell input'!$C$35</f>
        <v>#VALUE!</v>
      </c>
      <c r="DF35" s="294" t="e">
        <f t="shared" si="19"/>
        <v>#VALUE!</v>
      </c>
      <c r="DG35" s="290" t="e">
        <f>(DF35/1000000)*('1a. Spredningsmodell input'!$B$49)*'1a. Spredningsmodell input'!$C$35</f>
        <v>#VALUE!</v>
      </c>
      <c r="DH35" s="297" t="e">
        <f>($S35)*EXP(-(Stoff!$N35*365+$U35)*DB35)+DE35</f>
        <v>#VALUE!</v>
      </c>
      <c r="DI35" s="297" t="e">
        <f>(Stoff!$P35*$S35+DG35)*EXP(-$T35*DB35)</f>
        <v>#VALUE!</v>
      </c>
      <c r="DJ35" s="297" t="e">
        <f>(DH35+DI35)*1000000000/('1a. Spredningsmodell input'!$C$36*1000)</f>
        <v>#VALUE!</v>
      </c>
      <c r="DK35" s="297" t="e">
        <f>$G35*(1-EXP(-'1a. Spredningsmodell input'!$B$43*Mellomregninger!DB35))*(1-EXP(-'1a. Spredningsmodell input'!$B$46*Mellomregninger!DB35))</f>
        <v>#VALUE!</v>
      </c>
      <c r="DL35" s="297"/>
      <c r="DM35" s="297"/>
      <c r="DN35" s="262">
        <f t="shared" si="20"/>
        <v>20</v>
      </c>
      <c r="DO35" s="298" t="e">
        <f>($S35+$Q35*($O35+$I35*($D35*(1-Stoff!$P35))*(1-EXP(-($F35+Stoff!$L35*365)*DN35)))*(1-EXP(-($N35+Stoff!$M35*365)*DN35)))</f>
        <v>#VALUE!</v>
      </c>
      <c r="DP35" s="294" t="e">
        <f t="shared" si="21"/>
        <v>#VALUE!</v>
      </c>
      <c r="DQ35" s="296" t="e">
        <f>(DP35/1000000)*('1a. Spredningsmodell input'!$B$49)*'1a. Spredningsmodell input'!$C$35</f>
        <v>#VALUE!</v>
      </c>
      <c r="DR35" s="294" t="e">
        <f t="shared" si="9"/>
        <v>#VALUE!</v>
      </c>
      <c r="DS35" s="290" t="e">
        <f>(DR35/1000000)*('1a. Spredningsmodell input'!$B$49)*'1a. Spredningsmodell input'!$C$35</f>
        <v>#VALUE!</v>
      </c>
      <c r="DT35" s="297" t="e">
        <f>($S35)*EXP(-(Stoff!$N35*365+$U35)*DN35)+DQ35</f>
        <v>#VALUE!</v>
      </c>
      <c r="DU35" s="297" t="e">
        <f>(Stoff!$P35*$S35+DS35)*EXP(-$T35*DN35)</f>
        <v>#VALUE!</v>
      </c>
      <c r="DV35" s="297" t="e">
        <f>(DT35+DU35)*1000000000/('1a. Spredningsmodell input'!$C$36*1000)</f>
        <v>#VALUE!</v>
      </c>
      <c r="DW35" s="297" t="e">
        <f>$G35*(1-EXP(-'1a. Spredningsmodell input'!$B$43*Mellomregninger!DN35))*(1-EXP(-'1a. Spredningsmodell input'!$B$46*Mellomregninger!DN35))</f>
        <v>#VALUE!</v>
      </c>
      <c r="DX35" s="297"/>
      <c r="DY35" s="297"/>
      <c r="DZ35" s="262">
        <f t="shared" si="22"/>
        <v>100</v>
      </c>
      <c r="EA35" s="298" t="e">
        <f>($S35+$Q35*($O35+$I35*($D35*(1-Stoff!$P35))*(1-EXP(-($F35+Stoff!$L35*365)*DZ35)))*(1-EXP(-($N35+Stoff!$M35*365)*DZ35)))</f>
        <v>#VALUE!</v>
      </c>
      <c r="EB35" s="294" t="e">
        <f t="shared" si="10"/>
        <v>#VALUE!</v>
      </c>
      <c r="EC35" s="296" t="e">
        <f>(EB35/1000000)*('1a. Spredningsmodell input'!$B$49)*'1a. Spredningsmodell input'!$C$35</f>
        <v>#VALUE!</v>
      </c>
      <c r="ED35" s="294" t="e">
        <f t="shared" si="11"/>
        <v>#VALUE!</v>
      </c>
      <c r="EE35" s="290" t="e">
        <f>(ED35/1000000)*('1a. Spredningsmodell input'!$B$49)*'1a. Spredningsmodell input'!$C$35</f>
        <v>#VALUE!</v>
      </c>
      <c r="EF35" s="297" t="e">
        <f>($S35)*EXP(-(Stoff!$N35*365+$U35)*DZ35)+EC35</f>
        <v>#VALUE!</v>
      </c>
      <c r="EG35" s="297" t="e">
        <f>(Stoff!$P35*$S35+EE35)*EXP(-$T35*DZ35)</f>
        <v>#VALUE!</v>
      </c>
      <c r="EH35" s="297" t="e">
        <f>(EF35+EG35)*1000000000/('1a. Spredningsmodell input'!$C$36*1000)</f>
        <v>#VALUE!</v>
      </c>
      <c r="EI35" s="297" t="e">
        <f>$G35*(1-EXP(-'1a. Spredningsmodell input'!$B$43*Mellomregninger!DZ35))*(1-EXP(-'1a. Spredningsmodell input'!$B$46*Mellomregninger!DZ35))</f>
        <v>#VALUE!</v>
      </c>
      <c r="EJ35" s="297"/>
      <c r="EK35" s="297"/>
      <c r="EL35" s="262">
        <f t="shared" si="23"/>
        <v>1.0000000000000001E+25</v>
      </c>
      <c r="EM35" s="294" t="e">
        <f>($S35+$Q35*($O35+$I35*($D35*(1-Stoff!$P35))*(1-EXP(-($F35+Stoff!$L35*365)*EL35)))*(1-EXP(-($N35+Stoff!$M35*365)*EL35)))</f>
        <v>#VALUE!</v>
      </c>
      <c r="EN35" s="296" t="e">
        <f>($S35+$Q35*($O35+$I35*($D35*(1-Stoff!$P35))*(1-EXP(-($F35+Stoff!$L35*365)*(EL35-'1a. Spredningsmodell input'!$C$35))))*(1-EXP(-($N35+Stoff!$M35*365)*(EL35-'1a. Spredningsmodell input'!$C$35))))</f>
        <v>#VALUE!</v>
      </c>
      <c r="EO35" s="294" t="e">
        <f>IF(EL35&lt;'1a. Spredningsmodell input'!$C$35,EM35-($S35)*EXP(-(Stoff!$N35*365+$U35)*EL35),EM35-EN35)</f>
        <v>#VALUE!</v>
      </c>
      <c r="EP35" s="290" t="e">
        <f>((($D35*(Stoff!$P35))*(1-EXP(-'1a. Spredningsmodell input'!$B$43*EL35)))*(1-EXP(-'1a. Spredningsmodell input'!$B$46*EL35)))</f>
        <v>#VALUE!</v>
      </c>
      <c r="EQ35" s="294" t="e">
        <f>((($D35*(Stoff!$P35))*(1-EXP(-'1a. Spredningsmodell input'!$B$43*(EL35-'1a. Spredningsmodell input'!$C$35))))*(1-EXP(-'1a. Spredningsmodell input'!$B$46*(EL35-'1a. Spredningsmodell input'!$C$35))))</f>
        <v>#VALUE!</v>
      </c>
      <c r="ER35" s="290" t="e">
        <f>IF(EL35&lt;'1a. Spredningsmodell input'!$C$35,0,EP35-EQ35)</f>
        <v>#VALUE!</v>
      </c>
      <c r="ES35" s="297" t="e">
        <f>($S35)*EXP(-(Stoff!$N35*365+$U35)*EL35)+EO35</f>
        <v>#VALUE!</v>
      </c>
      <c r="ET35" s="297" t="e">
        <f>(Stoff!$P35*$S35+ER35)*EXP(-$T35*EL35)</f>
        <v>#VALUE!</v>
      </c>
      <c r="EU35" s="297" t="e">
        <f>(ES35+ET35)*1000000000/('1a. Spredningsmodell input'!$C$36*1000)</f>
        <v>#VALUE!</v>
      </c>
      <c r="EV35" s="262" t="e">
        <f t="shared" si="12"/>
        <v>#VALUE!</v>
      </c>
      <c r="EW35" s="299" t="e">
        <f t="shared" si="13"/>
        <v>#VALUE!</v>
      </c>
      <c r="EX35" s="262" t="e">
        <f t="shared" si="24"/>
        <v>#VALUE!</v>
      </c>
    </row>
    <row r="36" spans="1:154" x14ac:dyDescent="0.35">
      <c r="A36" s="50" t="s">
        <v>174</v>
      </c>
      <c r="B36" s="34" t="str">
        <f>IF(ISNUMBER('1c. Kons. porevann'!E36),1000*'1c. Kons. porevann'!E36,IF(ISNUMBER('1b. Kons. umettet jord'!E36),1000*'1b. Kons. umettet jord'!E36/C36,""))</f>
        <v/>
      </c>
      <c r="C36" s="244">
        <f>IF(Stoff!B36="uorganisk",Stoff!C36,Stoff!D36*'1a. Spredningsmodell input'!$C$11)</f>
        <v>0.3</v>
      </c>
      <c r="D36" s="34" t="str">
        <f>IF(ISNUMBER(B36),0.000001*('1b. Kons. umettet jord'!G36*'1a. Spredningsmodell input'!$C$12+B36*0.001*'1a. Spredningsmodell input'!$C$14)*1000*'1a. Spredningsmodell input'!$B$41*'1a. Spredningsmodell input'!$C$18,"")</f>
        <v/>
      </c>
      <c r="E36" s="283">
        <f>C36*'1a. Spredningsmodell input'!$C$12/'1a. Spredningsmodell input'!$C$14+1</f>
        <v>3.55</v>
      </c>
      <c r="F36" s="284">
        <f>'1a. Spredningsmodell input'!$B$43/E36</f>
        <v>0.42253521126760557</v>
      </c>
      <c r="G36" s="34" t="e">
        <f>Stoff!P36*Mellomregninger!D36</f>
        <v>#VALUE!</v>
      </c>
      <c r="H36" s="283" t="e">
        <f>(D36-G36)*(F36/(F36+Stoff!L36))</f>
        <v>#VALUE!</v>
      </c>
      <c r="I36" s="283">
        <f>F36/(F36+Stoff!L36)</f>
        <v>1</v>
      </c>
      <c r="J36" s="285" t="str">
        <f>IF(B36="","",IF(ISNUMBER('1d. Kons. mettet sone'!E36),'1d. Kons. mettet sone'!E36,IF(ISNUMBER('1e. Kons. grunnvann'!E36),'1e. Kons. grunnvann'!E36*Mellomregninger!K36,0)))</f>
        <v/>
      </c>
      <c r="K36" s="286">
        <f>IF(Stoff!B36="uorganisk",Stoff!C36,Stoff!D36*'1a. Spredningsmodell input'!$C$24)</f>
        <v>0.03</v>
      </c>
      <c r="L36" s="27" t="e">
        <f>IF(ISNUMBER('1e. Kons. grunnvann'!E36),1000*'1e. Kons. grunnvann'!E36,1000*J36/K36)</f>
        <v>#VALUE!</v>
      </c>
      <c r="M36" s="34">
        <f>K36*'1a. Spredningsmodell input'!$C$25/'1a. Spredningsmodell input'!$C$26+1</f>
        <v>1.1274999999999999</v>
      </c>
      <c r="N36" s="284">
        <f>'1a. Spredningsmodell input'!$C$26/M36</f>
        <v>0.35476718403547675</v>
      </c>
      <c r="O36" s="287" t="e">
        <f>0.000000001*(J36*'1a. Spredningsmodell input'!$C$25+L36)*1000*'1a. Spredningsmodell input'!$B$45</f>
        <v>#VALUE!</v>
      </c>
      <c r="P36" s="287" t="e">
        <f>O36*Stoff!P36</f>
        <v>#VALUE!</v>
      </c>
      <c r="Q36" s="287">
        <f>N36/(N36+Stoff!M36)</f>
        <v>1</v>
      </c>
      <c r="R36" s="288">
        <f>IF(ISNUMBER('1f. Kons. resipient'!E36),'1f. Kons. resipient'!E36,0)</f>
        <v>0</v>
      </c>
      <c r="S36" s="288">
        <f>0.000000001*'1a. Spredningsmodell input'!$C$36*R36*1000</f>
        <v>0</v>
      </c>
      <c r="T36" s="288">
        <f>1/'1a. Spredningsmodell input'!$C$35</f>
        <v>1</v>
      </c>
      <c r="U36" s="288">
        <f>1/'1a. Spredningsmodell input'!$C$35</f>
        <v>1</v>
      </c>
      <c r="V36" s="300" t="e">
        <f>(1/($N36+Stoff!$L36))*(LN(($D36*$I36/($D36*$I36+$J36))*($F36+Stoff!$L36+$N36+Stoff!$M36)/($N36+Stoff!$M36)))</f>
        <v>#VALUE!</v>
      </c>
      <c r="W36" s="290" t="e">
        <f>($D36-Stoff!$P36*$D36)*EXP(-($F36+Stoff!$L36*365)*V36)</f>
        <v>#VALUE!</v>
      </c>
      <c r="X36" s="291" t="e">
        <f>(Stoff!$P36*$D36)*EXP(-'1a. Spredningsmodell input'!$B$43*V36)</f>
        <v>#VALUE!</v>
      </c>
      <c r="Y36" s="290" t="e">
        <f>($D36-Stoff!$P36*$D36-W36)*($F36/($F36+Stoff!$L36*365))</f>
        <v>#VALUE!</v>
      </c>
      <c r="Z36" s="290" t="e">
        <f>(Stoff!$P36*$D36)-X36</f>
        <v>#VALUE!</v>
      </c>
      <c r="AA36" s="290" t="e">
        <f>($O36+Y36)*EXP(-($N36+Stoff!$M36*365)*V36)</f>
        <v>#VALUE!</v>
      </c>
      <c r="AB36" s="290" t="e">
        <f>(Stoff!$P36*$O36+Z36)*EXP(-('1a. Spredningsmodell input'!$B$46)*V36)</f>
        <v>#VALUE!</v>
      </c>
      <c r="AC36" s="292" t="e">
        <f>((AA36+AB36)*1000000000)/('1a. Spredningsmodell input'!$B$45*1000)</f>
        <v>#VALUE!</v>
      </c>
      <c r="AD36" s="294" t="e">
        <f>0.001*AC36/('1a. Spredningsmodell input'!$C$25+'1a. Spredningsmodell input'!$C$26/Mellomregninger!$K36)</f>
        <v>#VALUE!</v>
      </c>
      <c r="AE36" s="294" t="e">
        <f>1000*AD36/$K36+AB36*1000000000/('1a. Spredningsmodell input'!$B$45*1000)</f>
        <v>#VALUE!</v>
      </c>
      <c r="AF36" s="294" t="e">
        <f t="shared" si="0"/>
        <v>#VALUE!</v>
      </c>
      <c r="AG36" s="294" t="e">
        <f>AB36*1000000000/('1a. Spredningsmodell input'!$B$45*1000)</f>
        <v>#VALUE!</v>
      </c>
      <c r="AH36" s="300" t="e">
        <f>(1/('1a. Spredningsmodell input'!$B$46))*(LN(($D36*Stoff!$P36/($D36*Stoff!$P36+$P36*Stoff!$P36))*('1a. Spredningsmodell input'!$B$43+'1a. Spredningsmodell input'!$B$46)/('1a. Spredningsmodell input'!$B$46)))</f>
        <v>#VALUE!</v>
      </c>
      <c r="AI36" s="290" t="e">
        <f>($D36-Stoff!$P36*$D36)*EXP(-($F36+Stoff!$L36*365)*AH36)</f>
        <v>#VALUE!</v>
      </c>
      <c r="AJ36" s="291" t="e">
        <f>(Stoff!$P36*$D36)*EXP(-'1a. Spredningsmodell input'!$B$43*AH36)</f>
        <v>#VALUE!</v>
      </c>
      <c r="AK36" s="290" t="e">
        <f>($D36-Stoff!$P36*$D36-AI36)*($F36/($F36+Stoff!$L36*365))</f>
        <v>#VALUE!</v>
      </c>
      <c r="AL36" s="290" t="e">
        <f>(Stoff!$P36*$D36)-AJ36</f>
        <v>#VALUE!</v>
      </c>
      <c r="AM36" s="290" t="e">
        <f>($O36+AK36)*EXP(-($N36+Stoff!$M36*365)*AH36)</f>
        <v>#VALUE!</v>
      </c>
      <c r="AN36" s="290" t="e">
        <f>(Stoff!$P36*$O36+AL36)*EXP(-('1a. Spredningsmodell input'!$B$46)*AH36)</f>
        <v>#VALUE!</v>
      </c>
      <c r="AO36" s="292" t="e">
        <f>((AM36+AN36)*1000000000)/('1a. Spredningsmodell input'!$B$45*1000)</f>
        <v>#VALUE!</v>
      </c>
      <c r="AP36" s="294" t="e">
        <f>0.001*AO36/('1a. Spredningsmodell input'!$C$25+'1a. Spredningsmodell input'!$C$26/Mellomregninger!$K36)</f>
        <v>#VALUE!</v>
      </c>
      <c r="AQ36" s="294" t="e">
        <f>1000*AP36/$K36+AN36*1000000000/('1a. Spredningsmodell input'!$B$45*1000)</f>
        <v>#VALUE!</v>
      </c>
      <c r="AR36" s="294" t="e">
        <f t="shared" si="1"/>
        <v>#VALUE!</v>
      </c>
      <c r="AS36" s="294" t="e">
        <f>AN36*1000000000/('1a. Spredningsmodell input'!$B$45*1000)</f>
        <v>#VALUE!</v>
      </c>
      <c r="AT36" s="295">
        <f t="shared" ref="AT36:AT67" si="25">AT35</f>
        <v>5</v>
      </c>
      <c r="AU36" s="290" t="e">
        <f>($D36-Stoff!$P36*$D36)*EXP(-($F36+Stoff!$L36*365)*AT36)</f>
        <v>#VALUE!</v>
      </c>
      <c r="AV36" s="291" t="e">
        <f>(Stoff!$P36*$D36)*EXP(-'1a. Spredningsmodell input'!$B$43*AT36)</f>
        <v>#VALUE!</v>
      </c>
      <c r="AW36" s="290" t="e">
        <f>($D36-Stoff!$P36*$D36-AU36)*($F36/($F36+Stoff!$L36*365))</f>
        <v>#VALUE!</v>
      </c>
      <c r="AX36" s="290" t="e">
        <f>(Stoff!$P36*$D36)-AV36</f>
        <v>#VALUE!</v>
      </c>
      <c r="AY36" s="290" t="e">
        <f>($O36+AW36)*EXP(-($N36+Stoff!$M36*365)*AT36)</f>
        <v>#VALUE!</v>
      </c>
      <c r="AZ36" s="290" t="e">
        <f>(Stoff!$P36*$O36+AX36)*EXP(-('1a. Spredningsmodell input'!$B$46)*AT36)</f>
        <v>#VALUE!</v>
      </c>
      <c r="BA36" s="292" t="e">
        <f>((AY36+AZ36)*1000000000)/('1a. Spredningsmodell input'!$B$45*1000)</f>
        <v>#VALUE!</v>
      </c>
      <c r="BB36" s="294" t="e">
        <f>0.001*BA36/('1a. Spredningsmodell input'!$C$25+'1a. Spredningsmodell input'!$C$26/Mellomregninger!$K36)</f>
        <v>#VALUE!</v>
      </c>
      <c r="BC36" s="294" t="e">
        <f>1000*BB36/$K36+AZ36*1000000000/('1a. Spredningsmodell input'!$B$45*1000)</f>
        <v>#VALUE!</v>
      </c>
      <c r="BD36" s="294" t="e">
        <f t="shared" si="2"/>
        <v>#VALUE!</v>
      </c>
      <c r="BE36" s="294" t="e">
        <f>AZ36*1000000000/('1a. Spredningsmodell input'!$B$45*1000)</f>
        <v>#VALUE!</v>
      </c>
      <c r="BF36" s="295">
        <f t="shared" ref="BF36:BF67" si="26">BF35</f>
        <v>20</v>
      </c>
      <c r="BG36" s="290" t="e">
        <f>($D36-Stoff!$P36*$D36)*EXP(-($F36+Stoff!$L36*365)*BF36)</f>
        <v>#VALUE!</v>
      </c>
      <c r="BH36" s="291" t="e">
        <f>(Stoff!$P36*$D36)*EXP(-'1a. Spredningsmodell input'!$B$43*BF36)</f>
        <v>#VALUE!</v>
      </c>
      <c r="BI36" s="290" t="e">
        <f>($D36-Stoff!$P36*$D36-BG36)*($F36/($F36+Stoff!$L36*365))</f>
        <v>#VALUE!</v>
      </c>
      <c r="BJ36" s="290" t="e">
        <f>(Stoff!$P36*$D36)-BH36</f>
        <v>#VALUE!</v>
      </c>
      <c r="BK36" s="290" t="e">
        <f>($O36+BI36)*EXP(-($N36+Stoff!$M36*365)*BF36)</f>
        <v>#VALUE!</v>
      </c>
      <c r="BL36" s="290" t="e">
        <f>(Stoff!$P36*$O36+BJ36)*EXP(-('1a. Spredningsmodell input'!$B$46)*BF36)</f>
        <v>#VALUE!</v>
      </c>
      <c r="BM36" s="292" t="e">
        <f>((BK36+BL36)*1000000000)/('1a. Spredningsmodell input'!$B$45*1000)</f>
        <v>#VALUE!</v>
      </c>
      <c r="BN36" s="294" t="e">
        <f>0.001*BM36/('1a. Spredningsmodell input'!$C$25+'1a. Spredningsmodell input'!$C$26/Mellomregninger!$K36)</f>
        <v>#VALUE!</v>
      </c>
      <c r="BO36" s="294" t="e">
        <f>1000*BN36/$K36+BL36*1000000000/('1a. Spredningsmodell input'!$B$45*1000)</f>
        <v>#VALUE!</v>
      </c>
      <c r="BP36" s="294" t="e">
        <f t="shared" si="3"/>
        <v>#VALUE!</v>
      </c>
      <c r="BQ36" s="294" t="e">
        <f>BL36*1000000000/('1a. Spredningsmodell input'!$B$45*1000)</f>
        <v>#VALUE!</v>
      </c>
      <c r="BR36" s="295">
        <f t="shared" ref="BR36:BR67" si="27">BR35</f>
        <v>100</v>
      </c>
      <c r="BS36" s="290" t="e">
        <f>($D36-Stoff!$P36*$D36)*EXP(-($F36+Stoff!$L36*365)*BR36)</f>
        <v>#VALUE!</v>
      </c>
      <c r="BT36" s="291" t="e">
        <f>(Stoff!$P36*$D36)*EXP(-'1a. Spredningsmodell input'!$B$43*BR36)</f>
        <v>#VALUE!</v>
      </c>
      <c r="BU36" s="290" t="e">
        <f>($D36-Stoff!$P36*$D36-BS36)*($F36/($F36+Stoff!$L36*365))</f>
        <v>#VALUE!</v>
      </c>
      <c r="BV36" s="290" t="e">
        <f>(Stoff!$P36*$D36)-BT36</f>
        <v>#VALUE!</v>
      </c>
      <c r="BW36" s="290" t="e">
        <f>($O36+BU36)*EXP(-($N36+Stoff!$M36*365)*BR36)</f>
        <v>#VALUE!</v>
      </c>
      <c r="BX36" s="290" t="e">
        <f>(Stoff!$P36*$O36+BV36)*EXP(-('1a. Spredningsmodell input'!$B$46)*BR36)</f>
        <v>#VALUE!</v>
      </c>
      <c r="BY36" s="292" t="e">
        <f>((BW36+BX36)*1000000000)/('1a. Spredningsmodell input'!$B$45*1000)</f>
        <v>#VALUE!</v>
      </c>
      <c r="BZ36" s="294" t="e">
        <f>0.001*BY36/('1a. Spredningsmodell input'!$C$25+'1a. Spredningsmodell input'!$C$26/Mellomregninger!$K36)</f>
        <v>#VALUE!</v>
      </c>
      <c r="CA36" s="294" t="e">
        <f>1000*BZ36/$K36+BX36*1000000000/('1a. Spredningsmodell input'!$B$45*1000)</f>
        <v>#VALUE!</v>
      </c>
      <c r="CB36" s="294" t="e">
        <f t="shared" si="4"/>
        <v>#VALUE!</v>
      </c>
      <c r="CC36" s="294" t="e">
        <f>BX36*1000000000/('1a. Spredningsmodell input'!$B$45*1000)</f>
        <v>#VALUE!</v>
      </c>
      <c r="CD36" s="294" t="e">
        <f>V36+'1a. Spredningsmodell input'!$C$35</f>
        <v>#VALUE!</v>
      </c>
      <c r="CE36" s="294" t="e">
        <f>($S36+$Q36*($O36+$I36*($D36*(1-Stoff!$P36))*(1-EXP(-($F36+Stoff!$L36*365)*CD36)))*(1-EXP(-($N36+Stoff!$M36*365)*CD36)))</f>
        <v>#VALUE!</v>
      </c>
      <c r="CF36" s="294" t="e">
        <f t="shared" si="5"/>
        <v>#VALUE!</v>
      </c>
      <c r="CG36" s="296" t="e">
        <f>(CF36/1000000)*'1a. Spredningsmodell input'!$B$49*'1a. Spredningsmodell input'!$C$35</f>
        <v>#VALUE!</v>
      </c>
      <c r="CH36" s="294" t="e">
        <f t="shared" si="17"/>
        <v>#VALUE!</v>
      </c>
      <c r="CI36" s="290" t="e">
        <f>(CH36/1000000)*'1a. Spredningsmodell input'!$B$49*'1a. Spredningsmodell input'!$C$35</f>
        <v>#VALUE!</v>
      </c>
      <c r="CJ36" s="297" t="e">
        <f>($S36)*EXP(-(Stoff!$N36*365+$U36)*CD36)+CG36</f>
        <v>#VALUE!</v>
      </c>
      <c r="CK36" s="297" t="e">
        <f>(Stoff!$P36*$S36+CI36)*EXP(-$T36*CD36)</f>
        <v>#VALUE!</v>
      </c>
      <c r="CL36" s="297" t="e">
        <f>(CJ36+CK36)*1000000000/('1a. Spredningsmodell input'!$C$36*1000)</f>
        <v>#VALUE!</v>
      </c>
      <c r="CM36" s="297" t="e">
        <f>$G36*(1-EXP(-'1a. Spredningsmodell input'!$B$43*Mellomregninger!CD36))*(1-EXP(-'1a. Spredningsmodell input'!$B$46*Mellomregninger!CD36))</f>
        <v>#VALUE!</v>
      </c>
      <c r="CN36" s="297"/>
      <c r="CO36" s="297"/>
      <c r="CP36" s="290">
        <f>IF(ISNUMBER(AH36),AH36+'1a. Spredningsmodell input'!$C$35,'1a. Spredningsmodell input'!$C$35)</f>
        <v>1</v>
      </c>
      <c r="CQ36" s="294" t="e">
        <f>($S36+$Q36*($O36+$I36*($D36*(1-Stoff!$P36))*(1-EXP(-($F36+Stoff!$L36*365)*CP36)))*(1-EXP(-($N36+Stoff!$M36*365)*CP36)))</f>
        <v>#VALUE!</v>
      </c>
      <c r="CR36" s="294" t="e">
        <f t="shared" si="6"/>
        <v>#VALUE!</v>
      </c>
      <c r="CS36" s="296" t="e">
        <f>(CR36/1000000)*('1a. Spredningsmodell input'!$B$49*'1a. Spredningsmodell input'!$C$35)</f>
        <v>#VALUE!</v>
      </c>
      <c r="CT36" s="294" t="e">
        <f t="shared" si="7"/>
        <v>#VALUE!</v>
      </c>
      <c r="CU36" s="290" t="e">
        <f>(CT36/1000000)*('1a. Spredningsmodell input'!$B$49)*'1a. Spredningsmodell input'!$C$35</f>
        <v>#VALUE!</v>
      </c>
      <c r="CV36" s="297" t="e">
        <f>($S36)*EXP(-(Stoff!$N36*365+$U36)*CP36)+CS36</f>
        <v>#VALUE!</v>
      </c>
      <c r="CW36" s="297" t="e">
        <f>(Stoff!$P36*$S36+CU36)*EXP(-$T36*CP36)</f>
        <v>#VALUE!</v>
      </c>
      <c r="CX36" s="297">
        <f>IF(ISERROR(CV36),0,(CV36+CW36)*1000000000/('1a. Spredningsmodell input'!$C$36*1000))</f>
        <v>0</v>
      </c>
      <c r="CY36" s="297" t="e">
        <f>$G36*(1-EXP(-'1a. Spredningsmodell input'!$B$43*Mellomregninger!CP36))*(1-EXP(-'1a. Spredningsmodell input'!$B$46*Mellomregninger!CP36))</f>
        <v>#VALUE!</v>
      </c>
      <c r="CZ36" s="297"/>
      <c r="DA36" s="297"/>
      <c r="DB36" s="262">
        <f t="shared" ref="DB36:DB67" si="28">DB35</f>
        <v>5</v>
      </c>
      <c r="DC36" s="298" t="e">
        <f>($S36+$Q36*($O36+$I36*($D36*(1-Stoff!$P36))*(1-EXP(-($F36+Stoff!$L36*365)*DB36)))*(1-EXP(-($N36+Stoff!$M36*365)*DB36)))</f>
        <v>#VALUE!</v>
      </c>
      <c r="DD36" s="294" t="e">
        <f t="shared" si="8"/>
        <v>#VALUE!</v>
      </c>
      <c r="DE36" s="296" t="e">
        <f>(DD36/1000000)*('1a. Spredningsmodell input'!$B$49)*'1a. Spredningsmodell input'!$C$35</f>
        <v>#VALUE!</v>
      </c>
      <c r="DF36" s="294" t="e">
        <f t="shared" si="19"/>
        <v>#VALUE!</v>
      </c>
      <c r="DG36" s="290" t="e">
        <f>(DF36/1000000)*('1a. Spredningsmodell input'!$B$49)*'1a. Spredningsmodell input'!$C$35</f>
        <v>#VALUE!</v>
      </c>
      <c r="DH36" s="297" t="e">
        <f>($S36)*EXP(-(Stoff!$N36*365+$U36)*DB36)+DE36</f>
        <v>#VALUE!</v>
      </c>
      <c r="DI36" s="297" t="e">
        <f>(Stoff!$P36*$S36+DG36)*EXP(-$T36*DB36)</f>
        <v>#VALUE!</v>
      </c>
      <c r="DJ36" s="297" t="e">
        <f>(DH36+DI36)*1000000000/('1a. Spredningsmodell input'!$C$36*1000)</f>
        <v>#VALUE!</v>
      </c>
      <c r="DK36" s="297" t="e">
        <f>$G36*(1-EXP(-'1a. Spredningsmodell input'!$B$43*Mellomregninger!DB36))*(1-EXP(-'1a. Spredningsmodell input'!$B$46*Mellomregninger!DB36))</f>
        <v>#VALUE!</v>
      </c>
      <c r="DL36" s="297"/>
      <c r="DM36" s="297"/>
      <c r="DN36" s="262">
        <f t="shared" ref="DN36:DN67" si="29">DN35</f>
        <v>20</v>
      </c>
      <c r="DO36" s="298" t="e">
        <f>($S36+$Q36*($O36+$I36*($D36*(1-Stoff!$P36))*(1-EXP(-($F36+Stoff!$L36*365)*DN36)))*(1-EXP(-($N36+Stoff!$M36*365)*DN36)))</f>
        <v>#VALUE!</v>
      </c>
      <c r="DP36" s="294" t="e">
        <f t="shared" si="21"/>
        <v>#VALUE!</v>
      </c>
      <c r="DQ36" s="296" t="e">
        <f>(DP36/1000000)*('1a. Spredningsmodell input'!$B$49)*'1a. Spredningsmodell input'!$C$35</f>
        <v>#VALUE!</v>
      </c>
      <c r="DR36" s="294" t="e">
        <f t="shared" si="9"/>
        <v>#VALUE!</v>
      </c>
      <c r="DS36" s="290" t="e">
        <f>(DR36/1000000)*('1a. Spredningsmodell input'!$B$49)*'1a. Spredningsmodell input'!$C$35</f>
        <v>#VALUE!</v>
      </c>
      <c r="DT36" s="297" t="e">
        <f>($S36)*EXP(-(Stoff!$N36*365+$U36)*DN36)+DQ36</f>
        <v>#VALUE!</v>
      </c>
      <c r="DU36" s="297" t="e">
        <f>(Stoff!$P36*$S36+DS36)*EXP(-$T36*DN36)</f>
        <v>#VALUE!</v>
      </c>
      <c r="DV36" s="297" t="e">
        <f>(DT36+DU36)*1000000000/('1a. Spredningsmodell input'!$C$36*1000)</f>
        <v>#VALUE!</v>
      </c>
      <c r="DW36" s="297" t="e">
        <f>$G36*(1-EXP(-'1a. Spredningsmodell input'!$B$43*Mellomregninger!DN36))*(1-EXP(-'1a. Spredningsmodell input'!$B$46*Mellomregninger!DN36))</f>
        <v>#VALUE!</v>
      </c>
      <c r="DX36" s="297"/>
      <c r="DY36" s="297"/>
      <c r="DZ36" s="262">
        <f t="shared" ref="DZ36:DZ67" si="30">DZ35</f>
        <v>100</v>
      </c>
      <c r="EA36" s="298" t="e">
        <f>($S36+$Q36*($O36+$I36*($D36*(1-Stoff!$P36))*(1-EXP(-($F36+Stoff!$L36*365)*DZ36)))*(1-EXP(-($N36+Stoff!$M36*365)*DZ36)))</f>
        <v>#VALUE!</v>
      </c>
      <c r="EB36" s="294" t="e">
        <f t="shared" si="10"/>
        <v>#VALUE!</v>
      </c>
      <c r="EC36" s="296" t="e">
        <f>(EB36/1000000)*('1a. Spredningsmodell input'!$B$49)*'1a. Spredningsmodell input'!$C$35</f>
        <v>#VALUE!</v>
      </c>
      <c r="ED36" s="294" t="e">
        <f t="shared" si="11"/>
        <v>#VALUE!</v>
      </c>
      <c r="EE36" s="290" t="e">
        <f>(ED36/1000000)*('1a. Spredningsmodell input'!$B$49)*'1a. Spredningsmodell input'!$C$35</f>
        <v>#VALUE!</v>
      </c>
      <c r="EF36" s="297" t="e">
        <f>($S36)*EXP(-(Stoff!$N36*365+$U36)*DZ36)+EC36</f>
        <v>#VALUE!</v>
      </c>
      <c r="EG36" s="297" t="e">
        <f>(Stoff!$P36*$S36+EE36)*EXP(-$T36*DZ36)</f>
        <v>#VALUE!</v>
      </c>
      <c r="EH36" s="297" t="e">
        <f>(EF36+EG36)*1000000000/('1a. Spredningsmodell input'!$C$36*1000)</f>
        <v>#VALUE!</v>
      </c>
      <c r="EI36" s="297" t="e">
        <f>$G36*(1-EXP(-'1a. Spredningsmodell input'!$B$43*Mellomregninger!DZ36))*(1-EXP(-'1a. Spredningsmodell input'!$B$46*Mellomregninger!DZ36))</f>
        <v>#VALUE!</v>
      </c>
      <c r="EJ36" s="297"/>
      <c r="EK36" s="297"/>
      <c r="EL36" s="262">
        <f t="shared" ref="EL36:EL67" si="31">EL35</f>
        <v>1.0000000000000001E+25</v>
      </c>
      <c r="EM36" s="294" t="e">
        <f>($S36+$Q36*($O36+$I36*($D36*(1-Stoff!$P36))*(1-EXP(-($F36+Stoff!$L36*365)*EL36)))*(1-EXP(-($N36+Stoff!$M36*365)*EL36)))</f>
        <v>#VALUE!</v>
      </c>
      <c r="EN36" s="296" t="e">
        <f>($S36+$Q36*($O36+$I36*($D36*(1-Stoff!$P36))*(1-EXP(-($F36+Stoff!$L36*365)*(EL36-'1a. Spredningsmodell input'!$C$35))))*(1-EXP(-($N36+Stoff!$M36*365)*(EL36-'1a. Spredningsmodell input'!$C$35))))</f>
        <v>#VALUE!</v>
      </c>
      <c r="EO36" s="294" t="e">
        <f>IF(EL36&lt;'1a. Spredningsmodell input'!$C$35,EM36-($S36)*EXP(-(Stoff!$N36*365+$U36)*EL36),EM36-EN36)</f>
        <v>#VALUE!</v>
      </c>
      <c r="EP36" s="290" t="e">
        <f>((($D36*(Stoff!$P36))*(1-EXP(-'1a. Spredningsmodell input'!$B$43*EL36)))*(1-EXP(-'1a. Spredningsmodell input'!$B$46*EL36)))</f>
        <v>#VALUE!</v>
      </c>
      <c r="EQ36" s="294" t="e">
        <f>((($D36*(Stoff!$P36))*(1-EXP(-'1a. Spredningsmodell input'!$B$43*(EL36-'1a. Spredningsmodell input'!$C$35))))*(1-EXP(-'1a. Spredningsmodell input'!$B$46*(EL36-'1a. Spredningsmodell input'!$C$35))))</f>
        <v>#VALUE!</v>
      </c>
      <c r="ER36" s="290" t="e">
        <f>IF(EL36&lt;'1a. Spredningsmodell input'!$C$35,0,EP36-EQ36)</f>
        <v>#VALUE!</v>
      </c>
      <c r="ES36" s="297" t="e">
        <f>($S36)*EXP(-(Stoff!$N36*365+$U36)*EL36)+EO36</f>
        <v>#VALUE!</v>
      </c>
      <c r="ET36" s="297" t="e">
        <f>(Stoff!$P36*$S36+ER36)*EXP(-$T36*EL36)</f>
        <v>#VALUE!</v>
      </c>
      <c r="EU36" s="297" t="e">
        <f>(ES36+ET36)*1000000000/('1a. Spredningsmodell input'!$C$36*1000)</f>
        <v>#VALUE!</v>
      </c>
      <c r="EV36" s="262" t="e">
        <f t="shared" ref="EV36:EV67" si="32">MAXA(CL36,CX36)</f>
        <v>#VALUE!</v>
      </c>
      <c r="EW36" s="299" t="e">
        <f t="shared" ref="EW36:EW67" si="33">IF(CL36=EV36,CD36,CP36)</f>
        <v>#VALUE!</v>
      </c>
      <c r="EX36" s="262" t="e">
        <f t="shared" si="24"/>
        <v>#VALUE!</v>
      </c>
    </row>
    <row r="37" spans="1:154" x14ac:dyDescent="0.35">
      <c r="A37" s="50" t="s">
        <v>173</v>
      </c>
      <c r="B37" s="34" t="str">
        <f>IF(ISNUMBER('1c. Kons. porevann'!E37),1000*'1c. Kons. porevann'!E37,IF(ISNUMBER('1b. Kons. umettet jord'!E37),1000*'1b. Kons. umettet jord'!E37/C37,""))</f>
        <v/>
      </c>
      <c r="C37" s="244">
        <f>IF(Stoff!B37="uorganisk",Stoff!C37,Stoff!D37*'1a. Spredningsmodell input'!$C$11)</f>
        <v>0.3</v>
      </c>
      <c r="D37" s="34" t="str">
        <f>IF(ISNUMBER(B37),0.000001*('1b. Kons. umettet jord'!G37*'1a. Spredningsmodell input'!$C$12+B37*0.001*'1a. Spredningsmodell input'!$C$14)*1000*'1a. Spredningsmodell input'!$B$41*'1a. Spredningsmodell input'!$C$18,"")</f>
        <v/>
      </c>
      <c r="E37" s="283">
        <f>C37*'1a. Spredningsmodell input'!$C$12/'1a. Spredningsmodell input'!$C$14+1</f>
        <v>3.55</v>
      </c>
      <c r="F37" s="284">
        <f>'1a. Spredningsmodell input'!$B$43/E37</f>
        <v>0.42253521126760557</v>
      </c>
      <c r="G37" s="34" t="e">
        <f>Stoff!P37*Mellomregninger!D37</f>
        <v>#VALUE!</v>
      </c>
      <c r="H37" s="283" t="e">
        <f>(D37-G37)*(F37/(F37+Stoff!L37))</f>
        <v>#VALUE!</v>
      </c>
      <c r="I37" s="283">
        <f>F37/(F37+Stoff!L37)</f>
        <v>1</v>
      </c>
      <c r="J37" s="285" t="str">
        <f>IF(B37="","",IF(ISNUMBER('1d. Kons. mettet sone'!E37),'1d. Kons. mettet sone'!E37,IF(ISNUMBER('1e. Kons. grunnvann'!E37),'1e. Kons. grunnvann'!E37*Mellomregninger!K37,0)))</f>
        <v/>
      </c>
      <c r="K37" s="286">
        <f>IF(Stoff!B37="uorganisk",Stoff!C37,Stoff!D37*'1a. Spredningsmodell input'!$C$24)</f>
        <v>0.03</v>
      </c>
      <c r="L37" s="27" t="e">
        <f>IF(ISNUMBER('1e. Kons. grunnvann'!E37),1000*'1e. Kons. grunnvann'!E37,1000*J37/K37)</f>
        <v>#VALUE!</v>
      </c>
      <c r="M37" s="34">
        <f>K37*'1a. Spredningsmodell input'!$C$25/'1a. Spredningsmodell input'!$C$26+1</f>
        <v>1.1274999999999999</v>
      </c>
      <c r="N37" s="284">
        <f>'1a. Spredningsmodell input'!$C$26/M37</f>
        <v>0.35476718403547675</v>
      </c>
      <c r="O37" s="287" t="e">
        <f>0.000000001*(J37*'1a. Spredningsmodell input'!$C$25+L37)*1000*'1a. Spredningsmodell input'!$B$45</f>
        <v>#VALUE!</v>
      </c>
      <c r="P37" s="287" t="e">
        <f>O37*Stoff!P37</f>
        <v>#VALUE!</v>
      </c>
      <c r="Q37" s="287">
        <f>N37/(N37+Stoff!M37)</f>
        <v>1</v>
      </c>
      <c r="R37" s="288">
        <f>IF(ISNUMBER('1f. Kons. resipient'!E37),'1f. Kons. resipient'!E37,0)</f>
        <v>0</v>
      </c>
      <c r="S37" s="288">
        <f>0.000000001*'1a. Spredningsmodell input'!$C$36*R37*1000</f>
        <v>0</v>
      </c>
      <c r="T37" s="288">
        <f>1/'1a. Spredningsmodell input'!$C$35</f>
        <v>1</v>
      </c>
      <c r="U37" s="288">
        <f>1/'1a. Spredningsmodell input'!$C$35</f>
        <v>1</v>
      </c>
      <c r="V37" s="300" t="e">
        <f>(1/($N37+Stoff!$L37))*(LN(($D37*$I37/($D37*$I37+$J37))*($F37+Stoff!$L37+$N37+Stoff!$M37)/($N37+Stoff!$M37)))</f>
        <v>#VALUE!</v>
      </c>
      <c r="W37" s="290" t="e">
        <f>($D37-Stoff!$P37*$D37)*EXP(-($F37+Stoff!$L37*365)*V37)</f>
        <v>#VALUE!</v>
      </c>
      <c r="X37" s="291" t="e">
        <f>(Stoff!$P37*$D37)*EXP(-'1a. Spredningsmodell input'!$B$43*V37)</f>
        <v>#VALUE!</v>
      </c>
      <c r="Y37" s="290" t="e">
        <f>($D37-Stoff!$P37*$D37-W37)*($F37/($F37+Stoff!$L37*365))</f>
        <v>#VALUE!</v>
      </c>
      <c r="Z37" s="290" t="e">
        <f>(Stoff!$P37*$D37)-X37</f>
        <v>#VALUE!</v>
      </c>
      <c r="AA37" s="290" t="e">
        <f>($O37+Y37)*EXP(-($N37+Stoff!$M37*365)*V37)</f>
        <v>#VALUE!</v>
      </c>
      <c r="AB37" s="290" t="e">
        <f>(Stoff!$P37*$O37+Z37)*EXP(-('1a. Spredningsmodell input'!$B$46)*V37)</f>
        <v>#VALUE!</v>
      </c>
      <c r="AC37" s="292" t="e">
        <f>((AA37+AB37)*1000000000)/('1a. Spredningsmodell input'!$B$45*1000)</f>
        <v>#VALUE!</v>
      </c>
      <c r="AD37" s="294" t="e">
        <f>0.001*AC37/('1a. Spredningsmodell input'!$C$25+'1a. Spredningsmodell input'!$C$26/Mellomregninger!$K37)</f>
        <v>#VALUE!</v>
      </c>
      <c r="AE37" s="294" t="e">
        <f>1000*AD37/$K37+AB37*1000000000/('1a. Spredningsmodell input'!$B$45*1000)</f>
        <v>#VALUE!</v>
      </c>
      <c r="AF37" s="294" t="e">
        <f t="shared" si="0"/>
        <v>#VALUE!</v>
      </c>
      <c r="AG37" s="294" t="e">
        <f>AB37*1000000000/('1a. Spredningsmodell input'!$B$45*1000)</f>
        <v>#VALUE!</v>
      </c>
      <c r="AH37" s="300" t="e">
        <f>(1/('1a. Spredningsmodell input'!$B$46))*(LN(($D37*Stoff!$P37/($D37*Stoff!$P37+$P37*Stoff!$P37))*('1a. Spredningsmodell input'!$B$43+'1a. Spredningsmodell input'!$B$46)/('1a. Spredningsmodell input'!$B$46)))</f>
        <v>#VALUE!</v>
      </c>
      <c r="AI37" s="290" t="e">
        <f>($D37-Stoff!$P37*$D37)*EXP(-($F37+Stoff!$L37*365)*AH37)</f>
        <v>#VALUE!</v>
      </c>
      <c r="AJ37" s="291" t="e">
        <f>(Stoff!$P37*$D37)*EXP(-'1a. Spredningsmodell input'!$B$43*AH37)</f>
        <v>#VALUE!</v>
      </c>
      <c r="AK37" s="290" t="e">
        <f>($D37-Stoff!$P37*$D37-AI37)*($F37/($F37+Stoff!$L37*365))</f>
        <v>#VALUE!</v>
      </c>
      <c r="AL37" s="290" t="e">
        <f>(Stoff!$P37*$D37)-AJ37</f>
        <v>#VALUE!</v>
      </c>
      <c r="AM37" s="290" t="e">
        <f>($O37+AK37)*EXP(-($N37+Stoff!$M37*365)*AH37)</f>
        <v>#VALUE!</v>
      </c>
      <c r="AN37" s="290" t="e">
        <f>(Stoff!$P37*$O37+AL37)*EXP(-('1a. Spredningsmodell input'!$B$46)*AH37)</f>
        <v>#VALUE!</v>
      </c>
      <c r="AO37" s="292" t="e">
        <f>((AM37+AN37)*1000000000)/('1a. Spredningsmodell input'!$B$45*1000)</f>
        <v>#VALUE!</v>
      </c>
      <c r="AP37" s="294" t="e">
        <f>0.001*AO37/('1a. Spredningsmodell input'!$C$25+'1a. Spredningsmodell input'!$C$26/Mellomregninger!$K37)</f>
        <v>#VALUE!</v>
      </c>
      <c r="AQ37" s="294" t="e">
        <f>1000*AP37/$K37+AN37*1000000000/('1a. Spredningsmodell input'!$B$45*1000)</f>
        <v>#VALUE!</v>
      </c>
      <c r="AR37" s="294" t="e">
        <f t="shared" si="1"/>
        <v>#VALUE!</v>
      </c>
      <c r="AS37" s="294" t="e">
        <f>AN37*1000000000/('1a. Spredningsmodell input'!$B$45*1000)</f>
        <v>#VALUE!</v>
      </c>
      <c r="AT37" s="295">
        <f t="shared" si="25"/>
        <v>5</v>
      </c>
      <c r="AU37" s="290" t="e">
        <f>($D37-Stoff!$P37*$D37)*EXP(-($F37+Stoff!$L37*365)*AT37)</f>
        <v>#VALUE!</v>
      </c>
      <c r="AV37" s="291" t="e">
        <f>(Stoff!$P37*$D37)*EXP(-'1a. Spredningsmodell input'!$B$43*AT37)</f>
        <v>#VALUE!</v>
      </c>
      <c r="AW37" s="290" t="e">
        <f>($D37-Stoff!$P37*$D37-AU37)*($F37/($F37+Stoff!$L37*365))</f>
        <v>#VALUE!</v>
      </c>
      <c r="AX37" s="290" t="e">
        <f>(Stoff!$P37*$D37)-AV37</f>
        <v>#VALUE!</v>
      </c>
      <c r="AY37" s="290" t="e">
        <f>($O37+AW37)*EXP(-($N37+Stoff!$M37*365)*AT37)</f>
        <v>#VALUE!</v>
      </c>
      <c r="AZ37" s="290" t="e">
        <f>(Stoff!$P37*$O37+AX37)*EXP(-('1a. Spredningsmodell input'!$B$46)*AT37)</f>
        <v>#VALUE!</v>
      </c>
      <c r="BA37" s="292" t="e">
        <f>((AY37+AZ37)*1000000000)/('1a. Spredningsmodell input'!$B$45*1000)</f>
        <v>#VALUE!</v>
      </c>
      <c r="BB37" s="294" t="e">
        <f>0.001*BA37/('1a. Spredningsmodell input'!$C$25+'1a. Spredningsmodell input'!$C$26/Mellomregninger!$K37)</f>
        <v>#VALUE!</v>
      </c>
      <c r="BC37" s="294" t="e">
        <f>1000*BB37/$K37+AZ37*1000000000/('1a. Spredningsmodell input'!$B$45*1000)</f>
        <v>#VALUE!</v>
      </c>
      <c r="BD37" s="294" t="e">
        <f t="shared" si="2"/>
        <v>#VALUE!</v>
      </c>
      <c r="BE37" s="294" t="e">
        <f>AZ37*1000000000/('1a. Spredningsmodell input'!$B$45*1000)</f>
        <v>#VALUE!</v>
      </c>
      <c r="BF37" s="295">
        <f t="shared" si="26"/>
        <v>20</v>
      </c>
      <c r="BG37" s="290" t="e">
        <f>($D37-Stoff!$P37*$D37)*EXP(-($F37+Stoff!$L37*365)*BF37)</f>
        <v>#VALUE!</v>
      </c>
      <c r="BH37" s="291" t="e">
        <f>(Stoff!$P37*$D37)*EXP(-'1a. Spredningsmodell input'!$B$43*BF37)</f>
        <v>#VALUE!</v>
      </c>
      <c r="BI37" s="290" t="e">
        <f>($D37-Stoff!$P37*$D37-BG37)*($F37/($F37+Stoff!$L37*365))</f>
        <v>#VALUE!</v>
      </c>
      <c r="BJ37" s="290" t="e">
        <f>(Stoff!$P37*$D37)-BH37</f>
        <v>#VALUE!</v>
      </c>
      <c r="BK37" s="290" t="e">
        <f>($O37+BI37)*EXP(-($N37+Stoff!$M37*365)*BF37)</f>
        <v>#VALUE!</v>
      </c>
      <c r="BL37" s="290" t="e">
        <f>(Stoff!$P37*$O37+BJ37)*EXP(-('1a. Spredningsmodell input'!$B$46)*BF37)</f>
        <v>#VALUE!</v>
      </c>
      <c r="BM37" s="292" t="e">
        <f>((BK37+BL37)*1000000000)/('1a. Spredningsmodell input'!$B$45*1000)</f>
        <v>#VALUE!</v>
      </c>
      <c r="BN37" s="294" t="e">
        <f>0.001*BM37/('1a. Spredningsmodell input'!$C$25+'1a. Spredningsmodell input'!$C$26/Mellomregninger!$K37)</f>
        <v>#VALUE!</v>
      </c>
      <c r="BO37" s="294" t="e">
        <f>1000*BN37/$K37+BL37*1000000000/('1a. Spredningsmodell input'!$B$45*1000)</f>
        <v>#VALUE!</v>
      </c>
      <c r="BP37" s="294" t="e">
        <f t="shared" si="3"/>
        <v>#VALUE!</v>
      </c>
      <c r="BQ37" s="294" t="e">
        <f>BL37*1000000000/('1a. Spredningsmodell input'!$B$45*1000)</f>
        <v>#VALUE!</v>
      </c>
      <c r="BR37" s="295">
        <f t="shared" si="27"/>
        <v>100</v>
      </c>
      <c r="BS37" s="290" t="e">
        <f>($D37-Stoff!$P37*$D37)*EXP(-($F37+Stoff!$L37*365)*BR37)</f>
        <v>#VALUE!</v>
      </c>
      <c r="BT37" s="291" t="e">
        <f>(Stoff!$P37*$D37)*EXP(-'1a. Spredningsmodell input'!$B$43*BR37)</f>
        <v>#VALUE!</v>
      </c>
      <c r="BU37" s="290" t="e">
        <f>($D37-Stoff!$P37*$D37-BS37)*($F37/($F37+Stoff!$L37*365))</f>
        <v>#VALUE!</v>
      </c>
      <c r="BV37" s="290" t="e">
        <f>(Stoff!$P37*$D37)-BT37</f>
        <v>#VALUE!</v>
      </c>
      <c r="BW37" s="290" t="e">
        <f>($O37+BU37)*EXP(-($N37+Stoff!$M37*365)*BR37)</f>
        <v>#VALUE!</v>
      </c>
      <c r="BX37" s="290" t="e">
        <f>(Stoff!$P37*$O37+BV37)*EXP(-('1a. Spredningsmodell input'!$B$46)*BR37)</f>
        <v>#VALUE!</v>
      </c>
      <c r="BY37" s="292" t="e">
        <f>((BW37+BX37)*1000000000)/('1a. Spredningsmodell input'!$B$45*1000)</f>
        <v>#VALUE!</v>
      </c>
      <c r="BZ37" s="294" t="e">
        <f>0.001*BY37/('1a. Spredningsmodell input'!$C$25+'1a. Spredningsmodell input'!$C$26/Mellomregninger!$K37)</f>
        <v>#VALUE!</v>
      </c>
      <c r="CA37" s="294" t="e">
        <f>1000*BZ37/$K37+BX37*1000000000/('1a. Spredningsmodell input'!$B$45*1000)</f>
        <v>#VALUE!</v>
      </c>
      <c r="CB37" s="294" t="e">
        <f t="shared" si="4"/>
        <v>#VALUE!</v>
      </c>
      <c r="CC37" s="294" t="e">
        <f>BX37*1000000000/('1a. Spredningsmodell input'!$B$45*1000)</f>
        <v>#VALUE!</v>
      </c>
      <c r="CD37" s="294" t="e">
        <f>V37+'1a. Spredningsmodell input'!$C$35</f>
        <v>#VALUE!</v>
      </c>
      <c r="CE37" s="294" t="e">
        <f>($S37+$Q37*($O37+$I37*($D37*(1-Stoff!$P37))*(1-EXP(-($F37+Stoff!$L37*365)*CD37)))*(1-EXP(-($N37+Stoff!$M37*365)*CD37)))</f>
        <v>#VALUE!</v>
      </c>
      <c r="CF37" s="294" t="e">
        <f t="shared" si="5"/>
        <v>#VALUE!</v>
      </c>
      <c r="CG37" s="296" t="e">
        <f>(CF37/1000000)*'1a. Spredningsmodell input'!$B$49*'1a. Spredningsmodell input'!$C$35</f>
        <v>#VALUE!</v>
      </c>
      <c r="CH37" s="294" t="e">
        <f t="shared" si="17"/>
        <v>#VALUE!</v>
      </c>
      <c r="CI37" s="290" t="e">
        <f>(CH37/1000000)*'1a. Spredningsmodell input'!$B$49*'1a. Spredningsmodell input'!$C$35</f>
        <v>#VALUE!</v>
      </c>
      <c r="CJ37" s="297" t="e">
        <f>($S37)*EXP(-(Stoff!$N37*365+$U37)*CD37)+CG37</f>
        <v>#VALUE!</v>
      </c>
      <c r="CK37" s="297" t="e">
        <f>(Stoff!$P37*$S37+CI37)*EXP(-$T37*CD37)</f>
        <v>#VALUE!</v>
      </c>
      <c r="CL37" s="297" t="e">
        <f>(CJ37+CK37)*1000000000/('1a. Spredningsmodell input'!$C$36*1000)</f>
        <v>#VALUE!</v>
      </c>
      <c r="CM37" s="297" t="e">
        <f>$G37*(1-EXP(-'1a. Spredningsmodell input'!$B$43*Mellomregninger!CD37))*(1-EXP(-'1a. Spredningsmodell input'!$B$46*Mellomregninger!CD37))</f>
        <v>#VALUE!</v>
      </c>
      <c r="CN37" s="297"/>
      <c r="CO37" s="297"/>
      <c r="CP37" s="290">
        <f>IF(ISNUMBER(AH37),AH37+'1a. Spredningsmodell input'!$C$35,'1a. Spredningsmodell input'!$C$35)</f>
        <v>1</v>
      </c>
      <c r="CQ37" s="294" t="e">
        <f>($S37+$Q37*($O37+$I37*($D37*(1-Stoff!$P37))*(1-EXP(-($F37+Stoff!$L37*365)*CP37)))*(1-EXP(-($N37+Stoff!$M37*365)*CP37)))</f>
        <v>#VALUE!</v>
      </c>
      <c r="CR37" s="294" t="e">
        <f t="shared" si="6"/>
        <v>#VALUE!</v>
      </c>
      <c r="CS37" s="296" t="e">
        <f>(CR37/1000000)*('1a. Spredningsmodell input'!$B$49*'1a. Spredningsmodell input'!$C$35)</f>
        <v>#VALUE!</v>
      </c>
      <c r="CT37" s="294" t="e">
        <f t="shared" si="7"/>
        <v>#VALUE!</v>
      </c>
      <c r="CU37" s="290" t="e">
        <f>(CT37/1000000)*('1a. Spredningsmodell input'!$B$49)*'1a. Spredningsmodell input'!$C$35</f>
        <v>#VALUE!</v>
      </c>
      <c r="CV37" s="297" t="e">
        <f>($S37)*EXP(-(Stoff!$N37*365+$U37)*CP37)+CS37</f>
        <v>#VALUE!</v>
      </c>
      <c r="CW37" s="297" t="e">
        <f>(Stoff!$P37*$S37+CU37)*EXP(-$T37*CP37)</f>
        <v>#VALUE!</v>
      </c>
      <c r="CX37" s="297">
        <f>IF(ISERROR(CV37),0,(CV37+CW37)*1000000000/('1a. Spredningsmodell input'!$C$36*1000))</f>
        <v>0</v>
      </c>
      <c r="CY37" s="297" t="e">
        <f>$G37*(1-EXP(-'1a. Spredningsmodell input'!$B$43*Mellomregninger!CP37))*(1-EXP(-'1a. Spredningsmodell input'!$B$46*Mellomregninger!CP37))</f>
        <v>#VALUE!</v>
      </c>
      <c r="CZ37" s="297"/>
      <c r="DA37" s="297"/>
      <c r="DB37" s="262">
        <f t="shared" si="28"/>
        <v>5</v>
      </c>
      <c r="DC37" s="298" t="e">
        <f>($S37+$Q37*($O37+$I37*($D37*(1-Stoff!$P37))*(1-EXP(-($F37+Stoff!$L37*365)*DB37)))*(1-EXP(-($N37+Stoff!$M37*365)*DB37)))</f>
        <v>#VALUE!</v>
      </c>
      <c r="DD37" s="294" t="e">
        <f t="shared" si="8"/>
        <v>#VALUE!</v>
      </c>
      <c r="DE37" s="296" t="e">
        <f>(DD37/1000000)*('1a. Spredningsmodell input'!$B$49)*'1a. Spredningsmodell input'!$C$35</f>
        <v>#VALUE!</v>
      </c>
      <c r="DF37" s="294" t="e">
        <f t="shared" si="19"/>
        <v>#VALUE!</v>
      </c>
      <c r="DG37" s="290" t="e">
        <f>(DF37/1000000)*('1a. Spredningsmodell input'!$B$49)*'1a. Spredningsmodell input'!$C$35</f>
        <v>#VALUE!</v>
      </c>
      <c r="DH37" s="297" t="e">
        <f>($S37)*EXP(-(Stoff!$N37*365+$U37)*DB37)+DE37</f>
        <v>#VALUE!</v>
      </c>
      <c r="DI37" s="297" t="e">
        <f>(Stoff!$P37*$S37+DG37)*EXP(-$T37*DB37)</f>
        <v>#VALUE!</v>
      </c>
      <c r="DJ37" s="297" t="e">
        <f>(DH37+DI37)*1000000000/('1a. Spredningsmodell input'!$C$36*1000)</f>
        <v>#VALUE!</v>
      </c>
      <c r="DK37" s="297" t="e">
        <f>$G37*(1-EXP(-'1a. Spredningsmodell input'!$B$43*Mellomregninger!DB37))*(1-EXP(-'1a. Spredningsmodell input'!$B$46*Mellomregninger!DB37))</f>
        <v>#VALUE!</v>
      </c>
      <c r="DL37" s="297"/>
      <c r="DM37" s="297"/>
      <c r="DN37" s="262">
        <f t="shared" si="29"/>
        <v>20</v>
      </c>
      <c r="DO37" s="298" t="e">
        <f>($S37+$Q37*($O37+$I37*($D37*(1-Stoff!$P37))*(1-EXP(-($F37+Stoff!$L37*365)*DN37)))*(1-EXP(-($N37+Stoff!$M37*365)*DN37)))</f>
        <v>#VALUE!</v>
      </c>
      <c r="DP37" s="294" t="e">
        <f t="shared" si="21"/>
        <v>#VALUE!</v>
      </c>
      <c r="DQ37" s="296" t="e">
        <f>(DP37/1000000)*('1a. Spredningsmodell input'!$B$49)*'1a. Spredningsmodell input'!$C$35</f>
        <v>#VALUE!</v>
      </c>
      <c r="DR37" s="294" t="e">
        <f t="shared" si="9"/>
        <v>#VALUE!</v>
      </c>
      <c r="DS37" s="290" t="e">
        <f>(DR37/1000000)*('1a. Spredningsmodell input'!$B$49)*'1a. Spredningsmodell input'!$C$35</f>
        <v>#VALUE!</v>
      </c>
      <c r="DT37" s="297" t="e">
        <f>($S37)*EXP(-(Stoff!$N37*365+$U37)*DN37)+DQ37</f>
        <v>#VALUE!</v>
      </c>
      <c r="DU37" s="297" t="e">
        <f>(Stoff!$P37*$S37+DS37)*EXP(-$T37*DN37)</f>
        <v>#VALUE!</v>
      </c>
      <c r="DV37" s="297" t="e">
        <f>(DT37+DU37)*1000000000/('1a. Spredningsmodell input'!$C$36*1000)</f>
        <v>#VALUE!</v>
      </c>
      <c r="DW37" s="297" t="e">
        <f>$G37*(1-EXP(-'1a. Spredningsmodell input'!$B$43*Mellomregninger!DN37))*(1-EXP(-'1a. Spredningsmodell input'!$B$46*Mellomregninger!DN37))</f>
        <v>#VALUE!</v>
      </c>
      <c r="DX37" s="297"/>
      <c r="DY37" s="297"/>
      <c r="DZ37" s="262">
        <f t="shared" si="30"/>
        <v>100</v>
      </c>
      <c r="EA37" s="298" t="e">
        <f>($S37+$Q37*($O37+$I37*($D37*(1-Stoff!$P37))*(1-EXP(-($F37+Stoff!$L37*365)*DZ37)))*(1-EXP(-($N37+Stoff!$M37*365)*DZ37)))</f>
        <v>#VALUE!</v>
      </c>
      <c r="EB37" s="294" t="e">
        <f t="shared" si="10"/>
        <v>#VALUE!</v>
      </c>
      <c r="EC37" s="296" t="e">
        <f>(EB37/1000000)*('1a. Spredningsmodell input'!$B$49)*'1a. Spredningsmodell input'!$C$35</f>
        <v>#VALUE!</v>
      </c>
      <c r="ED37" s="294" t="e">
        <f t="shared" si="11"/>
        <v>#VALUE!</v>
      </c>
      <c r="EE37" s="290" t="e">
        <f>(ED37/1000000)*('1a. Spredningsmodell input'!$B$49)*'1a. Spredningsmodell input'!$C$35</f>
        <v>#VALUE!</v>
      </c>
      <c r="EF37" s="297" t="e">
        <f>($S37)*EXP(-(Stoff!$N37*365+$U37)*DZ37)+EC37</f>
        <v>#VALUE!</v>
      </c>
      <c r="EG37" s="297" t="e">
        <f>(Stoff!$P37*$S37+EE37)*EXP(-$T37*DZ37)</f>
        <v>#VALUE!</v>
      </c>
      <c r="EH37" s="297" t="e">
        <f>(EF37+EG37)*1000000000/('1a. Spredningsmodell input'!$C$36*1000)</f>
        <v>#VALUE!</v>
      </c>
      <c r="EI37" s="297" t="e">
        <f>$G37*(1-EXP(-'1a. Spredningsmodell input'!$B$43*Mellomregninger!DZ37))*(1-EXP(-'1a. Spredningsmodell input'!$B$46*Mellomregninger!DZ37))</f>
        <v>#VALUE!</v>
      </c>
      <c r="EJ37" s="297"/>
      <c r="EK37" s="297"/>
      <c r="EL37" s="262">
        <f t="shared" si="31"/>
        <v>1.0000000000000001E+25</v>
      </c>
      <c r="EM37" s="294" t="e">
        <f>($S37+$Q37*($O37+$I37*($D37*(1-Stoff!$P37))*(1-EXP(-($F37+Stoff!$L37*365)*EL37)))*(1-EXP(-($N37+Stoff!$M37*365)*EL37)))</f>
        <v>#VALUE!</v>
      </c>
      <c r="EN37" s="296" t="e">
        <f>($S37+$Q37*($O37+$I37*($D37*(1-Stoff!$P37))*(1-EXP(-($F37+Stoff!$L37*365)*(EL37-'1a. Spredningsmodell input'!$C$35))))*(1-EXP(-($N37+Stoff!$M37*365)*(EL37-'1a. Spredningsmodell input'!$C$35))))</f>
        <v>#VALUE!</v>
      </c>
      <c r="EO37" s="294" t="e">
        <f>IF(EL37&lt;'1a. Spredningsmodell input'!$C$35,EM37-($S37)*EXP(-(Stoff!$N37*365+$U37)*EL37),EM37-EN37)</f>
        <v>#VALUE!</v>
      </c>
      <c r="EP37" s="290" t="e">
        <f>((($D37*(Stoff!$P37))*(1-EXP(-'1a. Spredningsmodell input'!$B$43*EL37)))*(1-EXP(-'1a. Spredningsmodell input'!$B$46*EL37)))</f>
        <v>#VALUE!</v>
      </c>
      <c r="EQ37" s="294" t="e">
        <f>((($D37*(Stoff!$P37))*(1-EXP(-'1a. Spredningsmodell input'!$B$43*(EL37-'1a. Spredningsmodell input'!$C$35))))*(1-EXP(-'1a. Spredningsmodell input'!$B$46*(EL37-'1a. Spredningsmodell input'!$C$35))))</f>
        <v>#VALUE!</v>
      </c>
      <c r="ER37" s="290" t="e">
        <f>IF(EL37&lt;'1a. Spredningsmodell input'!$C$35,0,EP37-EQ37)</f>
        <v>#VALUE!</v>
      </c>
      <c r="ES37" s="297" t="e">
        <f>($S37)*EXP(-(Stoff!$N37*365+$U37)*EL37)+EO37</f>
        <v>#VALUE!</v>
      </c>
      <c r="ET37" s="297" t="e">
        <f>(Stoff!$P37*$S37+ER37)*EXP(-$T37*EL37)</f>
        <v>#VALUE!</v>
      </c>
      <c r="EU37" s="297" t="e">
        <f>(ES37+ET37)*1000000000/('1a. Spredningsmodell input'!$C$36*1000)</f>
        <v>#VALUE!</v>
      </c>
      <c r="EV37" s="262" t="e">
        <f t="shared" si="32"/>
        <v>#VALUE!</v>
      </c>
      <c r="EW37" s="299" t="e">
        <f t="shared" si="33"/>
        <v>#VALUE!</v>
      </c>
      <c r="EX37" s="262" t="e">
        <f t="shared" ref="EX37:EX68" si="34">IF(CL37=EV37,CE37+S37,CQ37+S37)</f>
        <v>#VALUE!</v>
      </c>
    </row>
    <row r="38" spans="1:154" x14ac:dyDescent="0.35">
      <c r="A38" s="50" t="s">
        <v>172</v>
      </c>
      <c r="B38" s="34" t="str">
        <f>IF(ISNUMBER('1c. Kons. porevann'!E38),1000*'1c. Kons. porevann'!E38,IF(ISNUMBER('1b. Kons. umettet jord'!E38),1000*'1b. Kons. umettet jord'!E38/C38,""))</f>
        <v/>
      </c>
      <c r="C38" s="244">
        <f>IF(Stoff!B38="uorganisk",Stoff!C38,Stoff!D38*'1a. Spredningsmodell input'!$C$11)</f>
        <v>34</v>
      </c>
      <c r="D38" s="34" t="str">
        <f>IF(ISNUMBER(B38),0.000001*('1b. Kons. umettet jord'!G38*'1a. Spredningsmodell input'!$C$12+B38*0.001*'1a. Spredningsmodell input'!$C$14)*1000*'1a. Spredningsmodell input'!$B$41*'1a. Spredningsmodell input'!$C$18,"")</f>
        <v/>
      </c>
      <c r="E38" s="283">
        <f>C38*'1a. Spredningsmodell input'!$C$12/'1a. Spredningsmodell input'!$C$14+1</f>
        <v>289.99999999999994</v>
      </c>
      <c r="F38" s="284">
        <f>'1a. Spredningsmodell input'!$B$43/E38</f>
        <v>5.1724137931034482E-3</v>
      </c>
      <c r="G38" s="34" t="e">
        <f>Stoff!P38*Mellomregninger!D38</f>
        <v>#VALUE!</v>
      </c>
      <c r="H38" s="283" t="e">
        <f>(D38-G38)*(F38/(F38+Stoff!L38))</f>
        <v>#VALUE!</v>
      </c>
      <c r="I38" s="283">
        <f>F38/(F38+Stoff!L38)</f>
        <v>1</v>
      </c>
      <c r="J38" s="285" t="str">
        <f>IF(B38="","",IF(ISNUMBER('1d. Kons. mettet sone'!E38),'1d. Kons. mettet sone'!E38,IF(ISNUMBER('1e. Kons. grunnvann'!E38),'1e. Kons. grunnvann'!E38*Mellomregninger!K38,0)))</f>
        <v/>
      </c>
      <c r="K38" s="286">
        <f>IF(Stoff!B38="uorganisk",Stoff!C38,Stoff!D38*'1a. Spredningsmodell input'!$C$24)</f>
        <v>3.4</v>
      </c>
      <c r="L38" s="27" t="e">
        <f>IF(ISNUMBER('1e. Kons. grunnvann'!E38),1000*'1e. Kons. grunnvann'!E38,1000*J38/K38)</f>
        <v>#VALUE!</v>
      </c>
      <c r="M38" s="34">
        <f>K38*'1a. Spredningsmodell input'!$C$25/'1a. Spredningsmodell input'!$C$26+1</f>
        <v>15.449999999999998</v>
      </c>
      <c r="N38" s="284">
        <f>'1a. Spredningsmodell input'!$C$26/M38</f>
        <v>2.5889967637540458E-2</v>
      </c>
      <c r="O38" s="287" t="e">
        <f>0.000000001*(J38*'1a. Spredningsmodell input'!$C$25+L38)*1000*'1a. Spredningsmodell input'!$B$45</f>
        <v>#VALUE!</v>
      </c>
      <c r="P38" s="287" t="e">
        <f>O38*Stoff!P38</f>
        <v>#VALUE!</v>
      </c>
      <c r="Q38" s="287">
        <f>N38/(N38+Stoff!M38)</f>
        <v>1</v>
      </c>
      <c r="R38" s="288">
        <f>IF(ISNUMBER('1f. Kons. resipient'!E38),'1f. Kons. resipient'!E38,0)</f>
        <v>0</v>
      </c>
      <c r="S38" s="288">
        <f>0.000000001*'1a. Spredningsmodell input'!$C$36*R38*1000</f>
        <v>0</v>
      </c>
      <c r="T38" s="288">
        <f>1/'1a. Spredningsmodell input'!$C$35</f>
        <v>1</v>
      </c>
      <c r="U38" s="288">
        <f>1/'1a. Spredningsmodell input'!$C$35</f>
        <v>1</v>
      </c>
      <c r="V38" s="300" t="e">
        <f>(1/($N38+Stoff!$L38))*(LN(($D38*$I38/($D38*$I38+$J38))*($F38+Stoff!$L38+$N38+Stoff!$M38)/($N38+Stoff!$M38)))</f>
        <v>#VALUE!</v>
      </c>
      <c r="W38" s="290" t="e">
        <f>($D38-Stoff!$P38*$D38)*EXP(-($F38+Stoff!$L38*365)*V38)</f>
        <v>#VALUE!</v>
      </c>
      <c r="X38" s="291" t="e">
        <f>(Stoff!$P38*$D38)*EXP(-'1a. Spredningsmodell input'!$B$43*V38)</f>
        <v>#VALUE!</v>
      </c>
      <c r="Y38" s="290" t="e">
        <f>($D38-Stoff!$P38*$D38-W38)*($F38/($F38+Stoff!$L38*365))</f>
        <v>#VALUE!</v>
      </c>
      <c r="Z38" s="290" t="e">
        <f>(Stoff!$P38*$D38)-X38</f>
        <v>#VALUE!</v>
      </c>
      <c r="AA38" s="290" t="e">
        <f>($O38+Y38)*EXP(-($N38+Stoff!$M38*365)*V38)</f>
        <v>#VALUE!</v>
      </c>
      <c r="AB38" s="290" t="e">
        <f>(Stoff!$P38*$O38+Z38)*EXP(-('1a. Spredningsmodell input'!$B$46)*V38)</f>
        <v>#VALUE!</v>
      </c>
      <c r="AC38" s="292" t="e">
        <f>((AA38+AB38)*1000000000)/('1a. Spredningsmodell input'!$B$45*1000)</f>
        <v>#VALUE!</v>
      </c>
      <c r="AD38" s="294" t="e">
        <f>0.001*AC38/('1a. Spredningsmodell input'!$C$25+'1a. Spredningsmodell input'!$C$26/Mellomregninger!$K38)</f>
        <v>#VALUE!</v>
      </c>
      <c r="AE38" s="294" t="e">
        <f>1000*AD38/$K38+AB38*1000000000/('1a. Spredningsmodell input'!$B$45*1000)</f>
        <v>#VALUE!</v>
      </c>
      <c r="AF38" s="294" t="e">
        <f t="shared" si="0"/>
        <v>#VALUE!</v>
      </c>
      <c r="AG38" s="294" t="e">
        <f>AB38*1000000000/('1a. Spredningsmodell input'!$B$45*1000)</f>
        <v>#VALUE!</v>
      </c>
      <c r="AH38" s="300" t="e">
        <f>(1/('1a. Spredningsmodell input'!$B$46))*(LN(($D38*Stoff!$P38/($D38*Stoff!$P38+$P38*Stoff!$P38))*('1a. Spredningsmodell input'!$B$43+'1a. Spredningsmodell input'!$B$46)/('1a. Spredningsmodell input'!$B$46)))</f>
        <v>#VALUE!</v>
      </c>
      <c r="AI38" s="290" t="e">
        <f>($D38-Stoff!$P38*$D38)*EXP(-($F38+Stoff!$L38*365)*AH38)</f>
        <v>#VALUE!</v>
      </c>
      <c r="AJ38" s="291" t="e">
        <f>(Stoff!$P38*$D38)*EXP(-'1a. Spredningsmodell input'!$B$43*AH38)</f>
        <v>#VALUE!</v>
      </c>
      <c r="AK38" s="290" t="e">
        <f>($D38-Stoff!$P38*$D38-AI38)*($F38/($F38+Stoff!$L38*365))</f>
        <v>#VALUE!</v>
      </c>
      <c r="AL38" s="290" t="e">
        <f>(Stoff!$P38*$D38)-AJ38</f>
        <v>#VALUE!</v>
      </c>
      <c r="AM38" s="290" t="e">
        <f>($O38+AK38)*EXP(-($N38+Stoff!$M38*365)*AH38)</f>
        <v>#VALUE!</v>
      </c>
      <c r="AN38" s="290" t="e">
        <f>(Stoff!$P38*$O38+AL38)*EXP(-('1a. Spredningsmodell input'!$B$46)*AH38)</f>
        <v>#VALUE!</v>
      </c>
      <c r="AO38" s="292" t="e">
        <f>((AM38+AN38)*1000000000)/('1a. Spredningsmodell input'!$B$45*1000)</f>
        <v>#VALUE!</v>
      </c>
      <c r="AP38" s="294" t="e">
        <f>0.001*AO38/('1a. Spredningsmodell input'!$C$25+'1a. Spredningsmodell input'!$C$26/Mellomregninger!$K38)</f>
        <v>#VALUE!</v>
      </c>
      <c r="AQ38" s="294" t="e">
        <f>1000*AP38/$K38+AN38*1000000000/('1a. Spredningsmodell input'!$B$45*1000)</f>
        <v>#VALUE!</v>
      </c>
      <c r="AR38" s="294" t="e">
        <f t="shared" si="1"/>
        <v>#VALUE!</v>
      </c>
      <c r="AS38" s="294" t="e">
        <f>AN38*1000000000/('1a. Spredningsmodell input'!$B$45*1000)</f>
        <v>#VALUE!</v>
      </c>
      <c r="AT38" s="295">
        <f t="shared" si="25"/>
        <v>5</v>
      </c>
      <c r="AU38" s="290" t="e">
        <f>($D38-Stoff!$P38*$D38)*EXP(-($F38+Stoff!$L38*365)*AT38)</f>
        <v>#VALUE!</v>
      </c>
      <c r="AV38" s="291" t="e">
        <f>(Stoff!$P38*$D38)*EXP(-'1a. Spredningsmodell input'!$B$43*AT38)</f>
        <v>#VALUE!</v>
      </c>
      <c r="AW38" s="290" t="e">
        <f>($D38-Stoff!$P38*$D38-AU38)*($F38/($F38+Stoff!$L38*365))</f>
        <v>#VALUE!</v>
      </c>
      <c r="AX38" s="290" t="e">
        <f>(Stoff!$P38*$D38)-AV38</f>
        <v>#VALUE!</v>
      </c>
      <c r="AY38" s="290" t="e">
        <f>($O38+AW38)*EXP(-($N38+Stoff!$M38*365)*AT38)</f>
        <v>#VALUE!</v>
      </c>
      <c r="AZ38" s="290" t="e">
        <f>(Stoff!$P38*$O38+AX38)*EXP(-('1a. Spredningsmodell input'!$B$46)*AT38)</f>
        <v>#VALUE!</v>
      </c>
      <c r="BA38" s="292" t="e">
        <f>((AY38+AZ38)*1000000000)/('1a. Spredningsmodell input'!$B$45*1000)</f>
        <v>#VALUE!</v>
      </c>
      <c r="BB38" s="294" t="e">
        <f>0.001*BA38/('1a. Spredningsmodell input'!$C$25+'1a. Spredningsmodell input'!$C$26/Mellomregninger!$K38)</f>
        <v>#VALUE!</v>
      </c>
      <c r="BC38" s="294" t="e">
        <f>1000*BB38/$K38+AZ38*1000000000/('1a. Spredningsmodell input'!$B$45*1000)</f>
        <v>#VALUE!</v>
      </c>
      <c r="BD38" s="294" t="e">
        <f t="shared" si="2"/>
        <v>#VALUE!</v>
      </c>
      <c r="BE38" s="294" t="e">
        <f>AZ38*1000000000/('1a. Spredningsmodell input'!$B$45*1000)</f>
        <v>#VALUE!</v>
      </c>
      <c r="BF38" s="295">
        <f t="shared" si="26"/>
        <v>20</v>
      </c>
      <c r="BG38" s="290" t="e">
        <f>($D38-Stoff!$P38*$D38)*EXP(-($F38+Stoff!$L38*365)*BF38)</f>
        <v>#VALUE!</v>
      </c>
      <c r="BH38" s="291" t="e">
        <f>(Stoff!$P38*$D38)*EXP(-'1a. Spredningsmodell input'!$B$43*BF38)</f>
        <v>#VALUE!</v>
      </c>
      <c r="BI38" s="290" t="e">
        <f>($D38-Stoff!$P38*$D38-BG38)*($F38/($F38+Stoff!$L38*365))</f>
        <v>#VALUE!</v>
      </c>
      <c r="BJ38" s="290" t="e">
        <f>(Stoff!$P38*$D38)-BH38</f>
        <v>#VALUE!</v>
      </c>
      <c r="BK38" s="290" t="e">
        <f>($O38+BI38)*EXP(-($N38+Stoff!$M38*365)*BF38)</f>
        <v>#VALUE!</v>
      </c>
      <c r="BL38" s="290" t="e">
        <f>(Stoff!$P38*$O38+BJ38)*EXP(-('1a. Spredningsmodell input'!$B$46)*BF38)</f>
        <v>#VALUE!</v>
      </c>
      <c r="BM38" s="292" t="e">
        <f>((BK38+BL38)*1000000000)/('1a. Spredningsmodell input'!$B$45*1000)</f>
        <v>#VALUE!</v>
      </c>
      <c r="BN38" s="294" t="e">
        <f>0.001*BM38/('1a. Spredningsmodell input'!$C$25+'1a. Spredningsmodell input'!$C$26/Mellomregninger!$K38)</f>
        <v>#VALUE!</v>
      </c>
      <c r="BO38" s="294" t="e">
        <f>1000*BN38/$K38+BL38*1000000000/('1a. Spredningsmodell input'!$B$45*1000)</f>
        <v>#VALUE!</v>
      </c>
      <c r="BP38" s="294" t="e">
        <f t="shared" si="3"/>
        <v>#VALUE!</v>
      </c>
      <c r="BQ38" s="294" t="e">
        <f>BL38*1000000000/('1a. Spredningsmodell input'!$B$45*1000)</f>
        <v>#VALUE!</v>
      </c>
      <c r="BR38" s="295">
        <f t="shared" si="27"/>
        <v>100</v>
      </c>
      <c r="BS38" s="290" t="e">
        <f>($D38-Stoff!$P38*$D38)*EXP(-($F38+Stoff!$L38*365)*BR38)</f>
        <v>#VALUE!</v>
      </c>
      <c r="BT38" s="291" t="e">
        <f>(Stoff!$P38*$D38)*EXP(-'1a. Spredningsmodell input'!$B$43*BR38)</f>
        <v>#VALUE!</v>
      </c>
      <c r="BU38" s="290" t="e">
        <f>($D38-Stoff!$P38*$D38-BS38)*($F38/($F38+Stoff!$L38*365))</f>
        <v>#VALUE!</v>
      </c>
      <c r="BV38" s="290" t="e">
        <f>(Stoff!$P38*$D38)-BT38</f>
        <v>#VALUE!</v>
      </c>
      <c r="BW38" s="290" t="e">
        <f>($O38+BU38)*EXP(-($N38+Stoff!$M38*365)*BR38)</f>
        <v>#VALUE!</v>
      </c>
      <c r="BX38" s="290" t="e">
        <f>(Stoff!$P38*$O38+BV38)*EXP(-('1a. Spredningsmodell input'!$B$46)*BR38)</f>
        <v>#VALUE!</v>
      </c>
      <c r="BY38" s="292" t="e">
        <f>((BW38+BX38)*1000000000)/('1a. Spredningsmodell input'!$B$45*1000)</f>
        <v>#VALUE!</v>
      </c>
      <c r="BZ38" s="294" t="e">
        <f>0.001*BY38/('1a. Spredningsmodell input'!$C$25+'1a. Spredningsmodell input'!$C$26/Mellomregninger!$K38)</f>
        <v>#VALUE!</v>
      </c>
      <c r="CA38" s="294" t="e">
        <f>1000*BZ38/$K38+BX38*1000000000/('1a. Spredningsmodell input'!$B$45*1000)</f>
        <v>#VALUE!</v>
      </c>
      <c r="CB38" s="294" t="e">
        <f t="shared" si="4"/>
        <v>#VALUE!</v>
      </c>
      <c r="CC38" s="294" t="e">
        <f>BX38*1000000000/('1a. Spredningsmodell input'!$B$45*1000)</f>
        <v>#VALUE!</v>
      </c>
      <c r="CD38" s="294" t="e">
        <f>V38+'1a. Spredningsmodell input'!$C$35</f>
        <v>#VALUE!</v>
      </c>
      <c r="CE38" s="294" t="e">
        <f>($S38+$Q38*($O38+$I38*($D38*(1-Stoff!$P38))*(1-EXP(-($F38+Stoff!$L38*365)*CD38)))*(1-EXP(-($N38+Stoff!$M38*365)*CD38)))</f>
        <v>#VALUE!</v>
      </c>
      <c r="CF38" s="294" t="e">
        <f t="shared" si="5"/>
        <v>#VALUE!</v>
      </c>
      <c r="CG38" s="296" t="e">
        <f>(CF38/1000000)*'1a. Spredningsmodell input'!$B$49*'1a. Spredningsmodell input'!$C$35</f>
        <v>#VALUE!</v>
      </c>
      <c r="CH38" s="294" t="e">
        <f t="shared" si="17"/>
        <v>#VALUE!</v>
      </c>
      <c r="CI38" s="290" t="e">
        <f>(CH38/1000000)*'1a. Spredningsmodell input'!$B$49*'1a. Spredningsmodell input'!$C$35</f>
        <v>#VALUE!</v>
      </c>
      <c r="CJ38" s="297" t="e">
        <f>($S38)*EXP(-(Stoff!$N38*365+$U38)*CD38)+CG38</f>
        <v>#VALUE!</v>
      </c>
      <c r="CK38" s="297" t="e">
        <f>(Stoff!$P38*$S38+CI38)*EXP(-$T38*CD38)</f>
        <v>#VALUE!</v>
      </c>
      <c r="CL38" s="297" t="e">
        <f>(CJ38+CK38)*1000000000/('1a. Spredningsmodell input'!$C$36*1000)</f>
        <v>#VALUE!</v>
      </c>
      <c r="CM38" s="297" t="e">
        <f>$G38*(1-EXP(-'1a. Spredningsmodell input'!$B$43*Mellomregninger!CD38))*(1-EXP(-'1a. Spredningsmodell input'!$B$46*Mellomregninger!CD38))</f>
        <v>#VALUE!</v>
      </c>
      <c r="CN38" s="297"/>
      <c r="CO38" s="297"/>
      <c r="CP38" s="290">
        <f>IF(ISNUMBER(AH38),AH38+'1a. Spredningsmodell input'!$C$35,'1a. Spredningsmodell input'!$C$35)</f>
        <v>1</v>
      </c>
      <c r="CQ38" s="294" t="e">
        <f>($S38+$Q38*($O38+$I38*($D38*(1-Stoff!$P38))*(1-EXP(-($F38+Stoff!$L38*365)*CP38)))*(1-EXP(-($N38+Stoff!$M38*365)*CP38)))</f>
        <v>#VALUE!</v>
      </c>
      <c r="CR38" s="294" t="e">
        <f t="shared" si="6"/>
        <v>#VALUE!</v>
      </c>
      <c r="CS38" s="296" t="e">
        <f>(CR38/1000000)*('1a. Spredningsmodell input'!$B$49*'1a. Spredningsmodell input'!$C$35)</f>
        <v>#VALUE!</v>
      </c>
      <c r="CT38" s="294" t="e">
        <f t="shared" si="7"/>
        <v>#VALUE!</v>
      </c>
      <c r="CU38" s="290" t="e">
        <f>(CT38/1000000)*('1a. Spredningsmodell input'!$B$49)*'1a. Spredningsmodell input'!$C$35</f>
        <v>#VALUE!</v>
      </c>
      <c r="CV38" s="297" t="e">
        <f>($S38)*EXP(-(Stoff!$N38*365+$U38)*CP38)+CS38</f>
        <v>#VALUE!</v>
      </c>
      <c r="CW38" s="297" t="e">
        <f>(Stoff!$P38*$S38+CU38)*EXP(-$T38*CP38)</f>
        <v>#VALUE!</v>
      </c>
      <c r="CX38" s="297">
        <f>IF(ISERROR(CV38),0,(CV38+CW38)*1000000000/('1a. Spredningsmodell input'!$C$36*1000))</f>
        <v>0</v>
      </c>
      <c r="CY38" s="297" t="e">
        <f>$G38*(1-EXP(-'1a. Spredningsmodell input'!$B$43*Mellomregninger!CP38))*(1-EXP(-'1a. Spredningsmodell input'!$B$46*Mellomregninger!CP38))</f>
        <v>#VALUE!</v>
      </c>
      <c r="CZ38" s="297"/>
      <c r="DA38" s="297"/>
      <c r="DB38" s="262">
        <f t="shared" si="28"/>
        <v>5</v>
      </c>
      <c r="DC38" s="298" t="e">
        <f>($S38+$Q38*($O38+$I38*($D38*(1-Stoff!$P38))*(1-EXP(-($F38+Stoff!$L38*365)*DB38)))*(1-EXP(-($N38+Stoff!$M38*365)*DB38)))</f>
        <v>#VALUE!</v>
      </c>
      <c r="DD38" s="294" t="e">
        <f t="shared" si="8"/>
        <v>#VALUE!</v>
      </c>
      <c r="DE38" s="296" t="e">
        <f>(DD38/1000000)*('1a. Spredningsmodell input'!$B$49)*'1a. Spredningsmodell input'!$C$35</f>
        <v>#VALUE!</v>
      </c>
      <c r="DF38" s="294" t="e">
        <f t="shared" si="19"/>
        <v>#VALUE!</v>
      </c>
      <c r="DG38" s="290" t="e">
        <f>(DF38/1000000)*('1a. Spredningsmodell input'!$B$49)*'1a. Spredningsmodell input'!$C$35</f>
        <v>#VALUE!</v>
      </c>
      <c r="DH38" s="297" t="e">
        <f>($S38)*EXP(-(Stoff!$N38*365+$U38)*DB38)+DE38</f>
        <v>#VALUE!</v>
      </c>
      <c r="DI38" s="297" t="e">
        <f>(Stoff!$P38*$S38+DG38)*EXP(-$T38*DB38)</f>
        <v>#VALUE!</v>
      </c>
      <c r="DJ38" s="297" t="e">
        <f>(DH38+DI38)*1000000000/('1a. Spredningsmodell input'!$C$36*1000)</f>
        <v>#VALUE!</v>
      </c>
      <c r="DK38" s="297" t="e">
        <f>$G38*(1-EXP(-'1a. Spredningsmodell input'!$B$43*Mellomregninger!DB38))*(1-EXP(-'1a. Spredningsmodell input'!$B$46*Mellomregninger!DB38))</f>
        <v>#VALUE!</v>
      </c>
      <c r="DL38" s="297"/>
      <c r="DM38" s="297"/>
      <c r="DN38" s="262">
        <f t="shared" si="29"/>
        <v>20</v>
      </c>
      <c r="DO38" s="298" t="e">
        <f>($S38+$Q38*($O38+$I38*($D38*(1-Stoff!$P38))*(1-EXP(-($F38+Stoff!$L38*365)*DN38)))*(1-EXP(-($N38+Stoff!$M38*365)*DN38)))</f>
        <v>#VALUE!</v>
      </c>
      <c r="DP38" s="294" t="e">
        <f t="shared" si="21"/>
        <v>#VALUE!</v>
      </c>
      <c r="DQ38" s="296" t="e">
        <f>(DP38/1000000)*('1a. Spredningsmodell input'!$B$49)*'1a. Spredningsmodell input'!$C$35</f>
        <v>#VALUE!</v>
      </c>
      <c r="DR38" s="294" t="e">
        <f t="shared" si="9"/>
        <v>#VALUE!</v>
      </c>
      <c r="DS38" s="290" t="e">
        <f>(DR38/1000000)*('1a. Spredningsmodell input'!$B$49)*'1a. Spredningsmodell input'!$C$35</f>
        <v>#VALUE!</v>
      </c>
      <c r="DT38" s="297" t="e">
        <f>($S38)*EXP(-(Stoff!$N38*365+$U38)*DN38)+DQ38</f>
        <v>#VALUE!</v>
      </c>
      <c r="DU38" s="297" t="e">
        <f>(Stoff!$P38*$S38+DS38)*EXP(-$T38*DN38)</f>
        <v>#VALUE!</v>
      </c>
      <c r="DV38" s="297" t="e">
        <f>(DT38+DU38)*1000000000/('1a. Spredningsmodell input'!$C$36*1000)</f>
        <v>#VALUE!</v>
      </c>
      <c r="DW38" s="297" t="e">
        <f>$G38*(1-EXP(-'1a. Spredningsmodell input'!$B$43*Mellomregninger!DN38))*(1-EXP(-'1a. Spredningsmodell input'!$B$46*Mellomregninger!DN38))</f>
        <v>#VALUE!</v>
      </c>
      <c r="DX38" s="297"/>
      <c r="DY38" s="297"/>
      <c r="DZ38" s="262">
        <f t="shared" si="30"/>
        <v>100</v>
      </c>
      <c r="EA38" s="298" t="e">
        <f>($S38+$Q38*($O38+$I38*($D38*(1-Stoff!$P38))*(1-EXP(-($F38+Stoff!$L38*365)*DZ38)))*(1-EXP(-($N38+Stoff!$M38*365)*DZ38)))</f>
        <v>#VALUE!</v>
      </c>
      <c r="EB38" s="294" t="e">
        <f t="shared" si="10"/>
        <v>#VALUE!</v>
      </c>
      <c r="EC38" s="296" t="e">
        <f>(EB38/1000000)*('1a. Spredningsmodell input'!$B$49)*'1a. Spredningsmodell input'!$C$35</f>
        <v>#VALUE!</v>
      </c>
      <c r="ED38" s="294" t="e">
        <f t="shared" si="11"/>
        <v>#VALUE!</v>
      </c>
      <c r="EE38" s="290" t="e">
        <f>(ED38/1000000)*('1a. Spredningsmodell input'!$B$49)*'1a. Spredningsmodell input'!$C$35</f>
        <v>#VALUE!</v>
      </c>
      <c r="EF38" s="297" t="e">
        <f>($S38)*EXP(-(Stoff!$N38*365+$U38)*DZ38)+EC38</f>
        <v>#VALUE!</v>
      </c>
      <c r="EG38" s="297" t="e">
        <f>(Stoff!$P38*$S38+EE38)*EXP(-$T38*DZ38)</f>
        <v>#VALUE!</v>
      </c>
      <c r="EH38" s="297" t="e">
        <f>(EF38+EG38)*1000000000/('1a. Spredningsmodell input'!$C$36*1000)</f>
        <v>#VALUE!</v>
      </c>
      <c r="EI38" s="297" t="e">
        <f>$G38*(1-EXP(-'1a. Spredningsmodell input'!$B$43*Mellomregninger!DZ38))*(1-EXP(-'1a. Spredningsmodell input'!$B$46*Mellomregninger!DZ38))</f>
        <v>#VALUE!</v>
      </c>
      <c r="EJ38" s="297"/>
      <c r="EK38" s="297"/>
      <c r="EL38" s="262">
        <f t="shared" si="31"/>
        <v>1.0000000000000001E+25</v>
      </c>
      <c r="EM38" s="294" t="e">
        <f>($S38+$Q38*($O38+$I38*($D38*(1-Stoff!$P38))*(1-EXP(-($F38+Stoff!$L38*365)*EL38)))*(1-EXP(-($N38+Stoff!$M38*365)*EL38)))</f>
        <v>#VALUE!</v>
      </c>
      <c r="EN38" s="296" t="e">
        <f>($S38+$Q38*($O38+$I38*($D38*(1-Stoff!$P38))*(1-EXP(-($F38+Stoff!$L38*365)*(EL38-'1a. Spredningsmodell input'!$C$35))))*(1-EXP(-($N38+Stoff!$M38*365)*(EL38-'1a. Spredningsmodell input'!$C$35))))</f>
        <v>#VALUE!</v>
      </c>
      <c r="EO38" s="294" t="e">
        <f>IF(EL38&lt;'1a. Spredningsmodell input'!$C$35,EM38-($S38)*EXP(-(Stoff!$N38*365+$U38)*EL38),EM38-EN38)</f>
        <v>#VALUE!</v>
      </c>
      <c r="EP38" s="290" t="e">
        <f>((($D38*(Stoff!$P38))*(1-EXP(-'1a. Spredningsmodell input'!$B$43*EL38)))*(1-EXP(-'1a. Spredningsmodell input'!$B$46*EL38)))</f>
        <v>#VALUE!</v>
      </c>
      <c r="EQ38" s="294" t="e">
        <f>((($D38*(Stoff!$P38))*(1-EXP(-'1a. Spredningsmodell input'!$B$43*(EL38-'1a. Spredningsmodell input'!$C$35))))*(1-EXP(-'1a. Spredningsmodell input'!$B$46*(EL38-'1a. Spredningsmodell input'!$C$35))))</f>
        <v>#VALUE!</v>
      </c>
      <c r="ER38" s="290" t="e">
        <f>IF(EL38&lt;'1a. Spredningsmodell input'!$C$35,0,EP38-EQ38)</f>
        <v>#VALUE!</v>
      </c>
      <c r="ES38" s="297" t="e">
        <f>($S38)*EXP(-(Stoff!$N38*365+$U38)*EL38)+EO38</f>
        <v>#VALUE!</v>
      </c>
      <c r="ET38" s="297" t="e">
        <f>(Stoff!$P38*$S38+ER38)*EXP(-$T38*EL38)</f>
        <v>#VALUE!</v>
      </c>
      <c r="EU38" s="297" t="e">
        <f>(ES38+ET38)*1000000000/('1a. Spredningsmodell input'!$C$36*1000)</f>
        <v>#VALUE!</v>
      </c>
      <c r="EV38" s="262" t="e">
        <f t="shared" si="32"/>
        <v>#VALUE!</v>
      </c>
      <c r="EW38" s="299" t="e">
        <f t="shared" si="33"/>
        <v>#VALUE!</v>
      </c>
      <c r="EX38" s="262" t="e">
        <f t="shared" si="34"/>
        <v>#VALUE!</v>
      </c>
    </row>
    <row r="39" spans="1:154" x14ac:dyDescent="0.35">
      <c r="A39" s="50" t="s">
        <v>171</v>
      </c>
      <c r="B39" s="34" t="str">
        <f>IF(ISNUMBER('1c. Kons. porevann'!E39),1000*'1c. Kons. porevann'!E39,IF(ISNUMBER('1b. Kons. umettet jord'!E39),1000*'1b. Kons. umettet jord'!E39/C39,""))</f>
        <v/>
      </c>
      <c r="C39" s="244">
        <f>IF(Stoff!B39="uorganisk",Stoff!C39,Stoff!D39*'1a. Spredningsmodell input'!$C$11)</f>
        <v>588.84</v>
      </c>
      <c r="D39" s="34" t="str">
        <f>IF(ISNUMBER(B39),0.000001*('1b. Kons. umettet jord'!G39*'1a. Spredningsmodell input'!$C$12+B39*0.001*'1a. Spredningsmodell input'!$C$14)*1000*'1a. Spredningsmodell input'!$B$41*'1a. Spredningsmodell input'!$C$18,"")</f>
        <v/>
      </c>
      <c r="E39" s="283">
        <f>C39*'1a. Spredningsmodell input'!$C$12/'1a. Spredningsmodell input'!$C$14+1</f>
        <v>5006.1399999999994</v>
      </c>
      <c r="F39" s="284">
        <f>'1a. Spredningsmodell input'!$B$43/E39</f>
        <v>2.9963205184034005E-4</v>
      </c>
      <c r="G39" s="34" t="e">
        <f>Stoff!P39*Mellomregninger!D39</f>
        <v>#VALUE!</v>
      </c>
      <c r="H39" s="283" t="e">
        <f>(D39-G39)*(F39/(F39+Stoff!L39))</f>
        <v>#VALUE!</v>
      </c>
      <c r="I39" s="283">
        <f>F39/(F39+Stoff!L39)</f>
        <v>1</v>
      </c>
      <c r="J39" s="285" t="str">
        <f>IF(B39="","",IF(ISNUMBER('1d. Kons. mettet sone'!E39),'1d. Kons. mettet sone'!E39,IF(ISNUMBER('1e. Kons. grunnvann'!E39),'1e. Kons. grunnvann'!E39*Mellomregninger!K39,0)))</f>
        <v/>
      </c>
      <c r="K39" s="286">
        <f>IF(Stoff!B39="uorganisk",Stoff!C39,Stoff!D39*'1a. Spredningsmodell input'!$C$24)</f>
        <v>58.884</v>
      </c>
      <c r="L39" s="27" t="e">
        <f>IF(ISNUMBER('1e. Kons. grunnvann'!E39),1000*'1e. Kons. grunnvann'!E39,1000*J39/K39)</f>
        <v>#VALUE!</v>
      </c>
      <c r="M39" s="34">
        <f>K39*'1a. Spredningsmodell input'!$C$25/'1a. Spredningsmodell input'!$C$26+1</f>
        <v>251.25700000000001</v>
      </c>
      <c r="N39" s="284">
        <f>'1a. Spredningsmodell input'!$C$26/M39</f>
        <v>1.5919954468930218E-3</v>
      </c>
      <c r="O39" s="287" t="e">
        <f>0.000000001*(J39*'1a. Spredningsmodell input'!$C$25+L39)*1000*'1a. Spredningsmodell input'!$B$45</f>
        <v>#VALUE!</v>
      </c>
      <c r="P39" s="287" t="e">
        <f>O39*Stoff!P39</f>
        <v>#VALUE!</v>
      </c>
      <c r="Q39" s="287">
        <f>N39/(N39+Stoff!M39)</f>
        <v>1</v>
      </c>
      <c r="R39" s="288">
        <f>IF(ISNUMBER('1f. Kons. resipient'!E39),'1f. Kons. resipient'!E39,0)</f>
        <v>0</v>
      </c>
      <c r="S39" s="288">
        <f>0.000000001*'1a. Spredningsmodell input'!$C$36*R39*1000</f>
        <v>0</v>
      </c>
      <c r="T39" s="288">
        <f>1/'1a. Spredningsmodell input'!$C$35</f>
        <v>1</v>
      </c>
      <c r="U39" s="288">
        <f>1/'1a. Spredningsmodell input'!$C$35</f>
        <v>1</v>
      </c>
      <c r="V39" s="300" t="e">
        <f>(1/($N39+Stoff!$L39))*(LN(($D39*$I39/($D39*$I39+$J39))*($F39+Stoff!$L39+$N39+Stoff!$M39)/($N39+Stoff!$M39)))</f>
        <v>#VALUE!</v>
      </c>
      <c r="W39" s="290" t="e">
        <f>($D39-Stoff!$P39*$D39)*EXP(-($F39+Stoff!$L39*365)*V39)</f>
        <v>#VALUE!</v>
      </c>
      <c r="X39" s="291" t="e">
        <f>(Stoff!$P39*$D39)*EXP(-'1a. Spredningsmodell input'!$B$43*V39)</f>
        <v>#VALUE!</v>
      </c>
      <c r="Y39" s="290" t="e">
        <f>($D39-Stoff!$P39*$D39-W39)*($F39/($F39+Stoff!$L39*365))</f>
        <v>#VALUE!</v>
      </c>
      <c r="Z39" s="290" t="e">
        <f>(Stoff!$P39*$D39)-X39</f>
        <v>#VALUE!</v>
      </c>
      <c r="AA39" s="290" t="e">
        <f>($O39+Y39)*EXP(-($N39+Stoff!$M39*365)*V39)</f>
        <v>#VALUE!</v>
      </c>
      <c r="AB39" s="290" t="e">
        <f>(Stoff!$P39*$O39+Z39)*EXP(-('1a. Spredningsmodell input'!$B$46)*V39)</f>
        <v>#VALUE!</v>
      </c>
      <c r="AC39" s="292" t="e">
        <f>((AA39+AB39)*1000000000)/('1a. Spredningsmodell input'!$B$45*1000)</f>
        <v>#VALUE!</v>
      </c>
      <c r="AD39" s="294" t="e">
        <f>0.001*AC39/('1a. Spredningsmodell input'!$C$25+'1a. Spredningsmodell input'!$C$26/Mellomregninger!$K39)</f>
        <v>#VALUE!</v>
      </c>
      <c r="AE39" s="294" t="e">
        <f>1000*AD39/$K39+AB39*1000000000/('1a. Spredningsmodell input'!$B$45*1000)</f>
        <v>#VALUE!</v>
      </c>
      <c r="AF39" s="294" t="e">
        <f t="shared" si="0"/>
        <v>#VALUE!</v>
      </c>
      <c r="AG39" s="294" t="e">
        <f>AB39*1000000000/('1a. Spredningsmodell input'!$B$45*1000)</f>
        <v>#VALUE!</v>
      </c>
      <c r="AH39" s="300" t="e">
        <f>(1/('1a. Spredningsmodell input'!$B$46))*(LN(($D39*Stoff!$P39/($D39*Stoff!$P39+$P39*Stoff!$P39))*('1a. Spredningsmodell input'!$B$43+'1a. Spredningsmodell input'!$B$46)/('1a. Spredningsmodell input'!$B$46)))</f>
        <v>#VALUE!</v>
      </c>
      <c r="AI39" s="290" t="e">
        <f>($D39-Stoff!$P39*$D39)*EXP(-($F39+Stoff!$L39*365)*AH39)</f>
        <v>#VALUE!</v>
      </c>
      <c r="AJ39" s="291" t="e">
        <f>(Stoff!$P39*$D39)*EXP(-'1a. Spredningsmodell input'!$B$43*AH39)</f>
        <v>#VALUE!</v>
      </c>
      <c r="AK39" s="290" t="e">
        <f>($D39-Stoff!$P39*$D39-AI39)*($F39/($F39+Stoff!$L39*365))</f>
        <v>#VALUE!</v>
      </c>
      <c r="AL39" s="290" t="e">
        <f>(Stoff!$P39*$D39)-AJ39</f>
        <v>#VALUE!</v>
      </c>
      <c r="AM39" s="290" t="e">
        <f>($O39+AK39)*EXP(-($N39+Stoff!$M39*365)*AH39)</f>
        <v>#VALUE!</v>
      </c>
      <c r="AN39" s="290" t="e">
        <f>(Stoff!$P39*$O39+AL39)*EXP(-('1a. Spredningsmodell input'!$B$46)*AH39)</f>
        <v>#VALUE!</v>
      </c>
      <c r="AO39" s="292" t="e">
        <f>((AM39+AN39)*1000000000)/('1a. Spredningsmodell input'!$B$45*1000)</f>
        <v>#VALUE!</v>
      </c>
      <c r="AP39" s="294" t="e">
        <f>0.001*AO39/('1a. Spredningsmodell input'!$C$25+'1a. Spredningsmodell input'!$C$26/Mellomregninger!$K39)</f>
        <v>#VALUE!</v>
      </c>
      <c r="AQ39" s="294" t="e">
        <f>1000*AP39/$K39+AN39*1000000000/('1a. Spredningsmodell input'!$B$45*1000)</f>
        <v>#VALUE!</v>
      </c>
      <c r="AR39" s="294" t="e">
        <f t="shared" si="1"/>
        <v>#VALUE!</v>
      </c>
      <c r="AS39" s="294" t="e">
        <f>AN39*1000000000/('1a. Spredningsmodell input'!$B$45*1000)</f>
        <v>#VALUE!</v>
      </c>
      <c r="AT39" s="295">
        <f t="shared" si="25"/>
        <v>5</v>
      </c>
      <c r="AU39" s="290" t="e">
        <f>($D39-Stoff!$P39*$D39)*EXP(-($F39+Stoff!$L39*365)*AT39)</f>
        <v>#VALUE!</v>
      </c>
      <c r="AV39" s="291" t="e">
        <f>(Stoff!$P39*$D39)*EXP(-'1a. Spredningsmodell input'!$B$43*AT39)</f>
        <v>#VALUE!</v>
      </c>
      <c r="AW39" s="290" t="e">
        <f>($D39-Stoff!$P39*$D39-AU39)*($F39/($F39+Stoff!$L39*365))</f>
        <v>#VALUE!</v>
      </c>
      <c r="AX39" s="290" t="e">
        <f>(Stoff!$P39*$D39)-AV39</f>
        <v>#VALUE!</v>
      </c>
      <c r="AY39" s="290" t="e">
        <f>($O39+AW39)*EXP(-($N39+Stoff!$M39*365)*AT39)</f>
        <v>#VALUE!</v>
      </c>
      <c r="AZ39" s="290" t="e">
        <f>(Stoff!$P39*$O39+AX39)*EXP(-('1a. Spredningsmodell input'!$B$46)*AT39)</f>
        <v>#VALUE!</v>
      </c>
      <c r="BA39" s="292" t="e">
        <f>((AY39+AZ39)*1000000000)/('1a. Spredningsmodell input'!$B$45*1000)</f>
        <v>#VALUE!</v>
      </c>
      <c r="BB39" s="294" t="e">
        <f>0.001*BA39/('1a. Spredningsmodell input'!$C$25+'1a. Spredningsmodell input'!$C$26/Mellomregninger!$K39)</f>
        <v>#VALUE!</v>
      </c>
      <c r="BC39" s="294" t="e">
        <f>1000*BB39/$K39+AZ39*1000000000/('1a. Spredningsmodell input'!$B$45*1000)</f>
        <v>#VALUE!</v>
      </c>
      <c r="BD39" s="294" t="e">
        <f t="shared" si="2"/>
        <v>#VALUE!</v>
      </c>
      <c r="BE39" s="294" t="e">
        <f>AZ39*1000000000/('1a. Spredningsmodell input'!$B$45*1000)</f>
        <v>#VALUE!</v>
      </c>
      <c r="BF39" s="295">
        <f t="shared" si="26"/>
        <v>20</v>
      </c>
      <c r="BG39" s="290" t="e">
        <f>($D39-Stoff!$P39*$D39)*EXP(-($F39+Stoff!$L39*365)*BF39)</f>
        <v>#VALUE!</v>
      </c>
      <c r="BH39" s="291" t="e">
        <f>(Stoff!$P39*$D39)*EXP(-'1a. Spredningsmodell input'!$B$43*BF39)</f>
        <v>#VALUE!</v>
      </c>
      <c r="BI39" s="290" t="e">
        <f>($D39-Stoff!$P39*$D39-BG39)*($F39/($F39+Stoff!$L39*365))</f>
        <v>#VALUE!</v>
      </c>
      <c r="BJ39" s="290" t="e">
        <f>(Stoff!$P39*$D39)-BH39</f>
        <v>#VALUE!</v>
      </c>
      <c r="BK39" s="290" t="e">
        <f>($O39+BI39)*EXP(-($N39+Stoff!$M39*365)*BF39)</f>
        <v>#VALUE!</v>
      </c>
      <c r="BL39" s="290" t="e">
        <f>(Stoff!$P39*$O39+BJ39)*EXP(-('1a. Spredningsmodell input'!$B$46)*BF39)</f>
        <v>#VALUE!</v>
      </c>
      <c r="BM39" s="292" t="e">
        <f>((BK39+BL39)*1000000000)/('1a. Spredningsmodell input'!$B$45*1000)</f>
        <v>#VALUE!</v>
      </c>
      <c r="BN39" s="294" t="e">
        <f>0.001*BM39/('1a. Spredningsmodell input'!$C$25+'1a. Spredningsmodell input'!$C$26/Mellomregninger!$K39)</f>
        <v>#VALUE!</v>
      </c>
      <c r="BO39" s="294" t="e">
        <f>1000*BN39/$K39+BL39*1000000000/('1a. Spredningsmodell input'!$B$45*1000)</f>
        <v>#VALUE!</v>
      </c>
      <c r="BP39" s="294" t="e">
        <f t="shared" si="3"/>
        <v>#VALUE!</v>
      </c>
      <c r="BQ39" s="294" t="e">
        <f>BL39*1000000000/('1a. Spredningsmodell input'!$B$45*1000)</f>
        <v>#VALUE!</v>
      </c>
      <c r="BR39" s="295">
        <f t="shared" si="27"/>
        <v>100</v>
      </c>
      <c r="BS39" s="290" t="e">
        <f>($D39-Stoff!$P39*$D39)*EXP(-($F39+Stoff!$L39*365)*BR39)</f>
        <v>#VALUE!</v>
      </c>
      <c r="BT39" s="291" t="e">
        <f>(Stoff!$P39*$D39)*EXP(-'1a. Spredningsmodell input'!$B$43*BR39)</f>
        <v>#VALUE!</v>
      </c>
      <c r="BU39" s="290" t="e">
        <f>($D39-Stoff!$P39*$D39-BS39)*($F39/($F39+Stoff!$L39*365))</f>
        <v>#VALUE!</v>
      </c>
      <c r="BV39" s="290" t="e">
        <f>(Stoff!$P39*$D39)-BT39</f>
        <v>#VALUE!</v>
      </c>
      <c r="BW39" s="290" t="e">
        <f>($O39+BU39)*EXP(-($N39+Stoff!$M39*365)*BR39)</f>
        <v>#VALUE!</v>
      </c>
      <c r="BX39" s="290" t="e">
        <f>(Stoff!$P39*$O39+BV39)*EXP(-('1a. Spredningsmodell input'!$B$46)*BR39)</f>
        <v>#VALUE!</v>
      </c>
      <c r="BY39" s="292" t="e">
        <f>((BW39+BX39)*1000000000)/('1a. Spredningsmodell input'!$B$45*1000)</f>
        <v>#VALUE!</v>
      </c>
      <c r="BZ39" s="294" t="e">
        <f>0.001*BY39/('1a. Spredningsmodell input'!$C$25+'1a. Spredningsmodell input'!$C$26/Mellomregninger!$K39)</f>
        <v>#VALUE!</v>
      </c>
      <c r="CA39" s="294" t="e">
        <f>1000*BZ39/$K39+BX39*1000000000/('1a. Spredningsmodell input'!$B$45*1000)</f>
        <v>#VALUE!</v>
      </c>
      <c r="CB39" s="294" t="e">
        <f t="shared" si="4"/>
        <v>#VALUE!</v>
      </c>
      <c r="CC39" s="294" t="e">
        <f>BX39*1000000000/('1a. Spredningsmodell input'!$B$45*1000)</f>
        <v>#VALUE!</v>
      </c>
      <c r="CD39" s="294" t="e">
        <f>V39+'1a. Spredningsmodell input'!$C$35</f>
        <v>#VALUE!</v>
      </c>
      <c r="CE39" s="294" t="e">
        <f>($S39+$Q39*($O39+$I39*($D39*(1-Stoff!$P39))*(1-EXP(-($F39+Stoff!$L39*365)*CD39)))*(1-EXP(-($N39+Stoff!$M39*365)*CD39)))</f>
        <v>#VALUE!</v>
      </c>
      <c r="CF39" s="294" t="e">
        <f t="shared" si="5"/>
        <v>#VALUE!</v>
      </c>
      <c r="CG39" s="296" t="e">
        <f>(CF39/1000000)*'1a. Spredningsmodell input'!$B$49*'1a. Spredningsmodell input'!$C$35</f>
        <v>#VALUE!</v>
      </c>
      <c r="CH39" s="294" t="e">
        <f t="shared" si="17"/>
        <v>#VALUE!</v>
      </c>
      <c r="CI39" s="290" t="e">
        <f>(CH39/1000000)*'1a. Spredningsmodell input'!$B$49*'1a. Spredningsmodell input'!$C$35</f>
        <v>#VALUE!</v>
      </c>
      <c r="CJ39" s="297" t="e">
        <f>($S39)*EXP(-(Stoff!$N39*365+$U39)*CD39)+CG39</f>
        <v>#VALUE!</v>
      </c>
      <c r="CK39" s="297" t="e">
        <f>(Stoff!$P39*$S39+CI39)*EXP(-$T39*CD39)</f>
        <v>#VALUE!</v>
      </c>
      <c r="CL39" s="297" t="e">
        <f>(CJ39+CK39)*1000000000/('1a. Spredningsmodell input'!$C$36*1000)</f>
        <v>#VALUE!</v>
      </c>
      <c r="CM39" s="297" t="e">
        <f>$G39*(1-EXP(-'1a. Spredningsmodell input'!$B$43*Mellomregninger!CD39))*(1-EXP(-'1a. Spredningsmodell input'!$B$46*Mellomregninger!CD39))</f>
        <v>#VALUE!</v>
      </c>
      <c r="CN39" s="297"/>
      <c r="CO39" s="297"/>
      <c r="CP39" s="290">
        <f>IF(ISNUMBER(AH39),AH39+'1a. Spredningsmodell input'!$C$35,'1a. Spredningsmodell input'!$C$35)</f>
        <v>1</v>
      </c>
      <c r="CQ39" s="294" t="e">
        <f>($S39+$Q39*($O39+$I39*($D39*(1-Stoff!$P39))*(1-EXP(-($F39+Stoff!$L39*365)*CP39)))*(1-EXP(-($N39+Stoff!$M39*365)*CP39)))</f>
        <v>#VALUE!</v>
      </c>
      <c r="CR39" s="294" t="e">
        <f t="shared" si="6"/>
        <v>#VALUE!</v>
      </c>
      <c r="CS39" s="296" t="e">
        <f>(CR39/1000000)*('1a. Spredningsmodell input'!$B$49*'1a. Spredningsmodell input'!$C$35)</f>
        <v>#VALUE!</v>
      </c>
      <c r="CT39" s="294" t="e">
        <f t="shared" si="7"/>
        <v>#VALUE!</v>
      </c>
      <c r="CU39" s="290" t="e">
        <f>(CT39/1000000)*('1a. Spredningsmodell input'!$B$49)*'1a. Spredningsmodell input'!$C$35</f>
        <v>#VALUE!</v>
      </c>
      <c r="CV39" s="297" t="e">
        <f>($S39)*EXP(-(Stoff!$N39*365+$U39)*CP39)+CS39</f>
        <v>#VALUE!</v>
      </c>
      <c r="CW39" s="297" t="e">
        <f>(Stoff!$P39*$S39+CU39)*EXP(-$T39*CP39)</f>
        <v>#VALUE!</v>
      </c>
      <c r="CX39" s="297">
        <f>IF(ISERROR(CV39),0,(CV39+CW39)*1000000000/('1a. Spredningsmodell input'!$C$36*1000))</f>
        <v>0</v>
      </c>
      <c r="CY39" s="297" t="e">
        <f>$G39*(1-EXP(-'1a. Spredningsmodell input'!$B$43*Mellomregninger!CP39))*(1-EXP(-'1a. Spredningsmodell input'!$B$46*Mellomregninger!CP39))</f>
        <v>#VALUE!</v>
      </c>
      <c r="CZ39" s="297"/>
      <c r="DA39" s="297"/>
      <c r="DB39" s="262">
        <f t="shared" si="28"/>
        <v>5</v>
      </c>
      <c r="DC39" s="298" t="e">
        <f>($S39+$Q39*($O39+$I39*($D39*(1-Stoff!$P39))*(1-EXP(-($F39+Stoff!$L39*365)*DB39)))*(1-EXP(-($N39+Stoff!$M39*365)*DB39)))</f>
        <v>#VALUE!</v>
      </c>
      <c r="DD39" s="294" t="e">
        <f t="shared" si="8"/>
        <v>#VALUE!</v>
      </c>
      <c r="DE39" s="296" t="e">
        <f>(DD39/1000000)*('1a. Spredningsmodell input'!$B$49)*'1a. Spredningsmodell input'!$C$35</f>
        <v>#VALUE!</v>
      </c>
      <c r="DF39" s="294" t="e">
        <f t="shared" si="19"/>
        <v>#VALUE!</v>
      </c>
      <c r="DG39" s="290" t="e">
        <f>(DF39/1000000)*('1a. Spredningsmodell input'!$B$49)*'1a. Spredningsmodell input'!$C$35</f>
        <v>#VALUE!</v>
      </c>
      <c r="DH39" s="297" t="e">
        <f>($S39)*EXP(-(Stoff!$N39*365+$U39)*DB39)+DE39</f>
        <v>#VALUE!</v>
      </c>
      <c r="DI39" s="297" t="e">
        <f>(Stoff!$P39*$S39+DG39)*EXP(-$T39*DB39)</f>
        <v>#VALUE!</v>
      </c>
      <c r="DJ39" s="297" t="e">
        <f>(DH39+DI39)*1000000000/('1a. Spredningsmodell input'!$C$36*1000)</f>
        <v>#VALUE!</v>
      </c>
      <c r="DK39" s="297" t="e">
        <f>$G39*(1-EXP(-'1a. Spredningsmodell input'!$B$43*Mellomregninger!DB39))*(1-EXP(-'1a. Spredningsmodell input'!$B$46*Mellomregninger!DB39))</f>
        <v>#VALUE!</v>
      </c>
      <c r="DL39" s="297"/>
      <c r="DM39" s="297"/>
      <c r="DN39" s="262">
        <f t="shared" si="29"/>
        <v>20</v>
      </c>
      <c r="DO39" s="298" t="e">
        <f>($S39+$Q39*($O39+$I39*($D39*(1-Stoff!$P39))*(1-EXP(-($F39+Stoff!$L39*365)*DN39)))*(1-EXP(-($N39+Stoff!$M39*365)*DN39)))</f>
        <v>#VALUE!</v>
      </c>
      <c r="DP39" s="294" t="e">
        <f t="shared" si="21"/>
        <v>#VALUE!</v>
      </c>
      <c r="DQ39" s="296" t="e">
        <f>(DP39/1000000)*('1a. Spredningsmodell input'!$B$49)*'1a. Spredningsmodell input'!$C$35</f>
        <v>#VALUE!</v>
      </c>
      <c r="DR39" s="294" t="e">
        <f t="shared" si="9"/>
        <v>#VALUE!</v>
      </c>
      <c r="DS39" s="290" t="e">
        <f>(DR39/1000000)*('1a. Spredningsmodell input'!$B$49)*'1a. Spredningsmodell input'!$C$35</f>
        <v>#VALUE!</v>
      </c>
      <c r="DT39" s="297" t="e">
        <f>($S39)*EXP(-(Stoff!$N39*365+$U39)*DN39)+DQ39</f>
        <v>#VALUE!</v>
      </c>
      <c r="DU39" s="297" t="e">
        <f>(Stoff!$P39*$S39+DS39)*EXP(-$T39*DN39)</f>
        <v>#VALUE!</v>
      </c>
      <c r="DV39" s="297" t="e">
        <f>(DT39+DU39)*1000000000/('1a. Spredningsmodell input'!$C$36*1000)</f>
        <v>#VALUE!</v>
      </c>
      <c r="DW39" s="297" t="e">
        <f>$G39*(1-EXP(-'1a. Spredningsmodell input'!$B$43*Mellomregninger!DN39))*(1-EXP(-'1a. Spredningsmodell input'!$B$46*Mellomregninger!DN39))</f>
        <v>#VALUE!</v>
      </c>
      <c r="DX39" s="297"/>
      <c r="DY39" s="297"/>
      <c r="DZ39" s="262">
        <f t="shared" si="30"/>
        <v>100</v>
      </c>
      <c r="EA39" s="298" t="e">
        <f>($S39+$Q39*($O39+$I39*($D39*(1-Stoff!$P39))*(1-EXP(-($F39+Stoff!$L39*365)*DZ39)))*(1-EXP(-($N39+Stoff!$M39*365)*DZ39)))</f>
        <v>#VALUE!</v>
      </c>
      <c r="EB39" s="294" t="e">
        <f t="shared" si="10"/>
        <v>#VALUE!</v>
      </c>
      <c r="EC39" s="296" t="e">
        <f>(EB39/1000000)*('1a. Spredningsmodell input'!$B$49)*'1a. Spredningsmodell input'!$C$35</f>
        <v>#VALUE!</v>
      </c>
      <c r="ED39" s="294" t="e">
        <f t="shared" si="11"/>
        <v>#VALUE!</v>
      </c>
      <c r="EE39" s="290" t="e">
        <f>(ED39/1000000)*('1a. Spredningsmodell input'!$B$49)*'1a. Spredningsmodell input'!$C$35</f>
        <v>#VALUE!</v>
      </c>
      <c r="EF39" s="297" t="e">
        <f>($S39)*EXP(-(Stoff!$N39*365+$U39)*DZ39)+EC39</f>
        <v>#VALUE!</v>
      </c>
      <c r="EG39" s="297" t="e">
        <f>(Stoff!$P39*$S39+EE39)*EXP(-$T39*DZ39)</f>
        <v>#VALUE!</v>
      </c>
      <c r="EH39" s="297" t="e">
        <f>(EF39+EG39)*1000000000/('1a. Spredningsmodell input'!$C$36*1000)</f>
        <v>#VALUE!</v>
      </c>
      <c r="EI39" s="297" t="e">
        <f>$G39*(1-EXP(-'1a. Spredningsmodell input'!$B$43*Mellomregninger!DZ39))*(1-EXP(-'1a. Spredningsmodell input'!$B$46*Mellomregninger!DZ39))</f>
        <v>#VALUE!</v>
      </c>
      <c r="EJ39" s="297"/>
      <c r="EK39" s="297"/>
      <c r="EL39" s="262">
        <f t="shared" si="31"/>
        <v>1.0000000000000001E+25</v>
      </c>
      <c r="EM39" s="294" t="e">
        <f>($S39+$Q39*($O39+$I39*($D39*(1-Stoff!$P39))*(1-EXP(-($F39+Stoff!$L39*365)*EL39)))*(1-EXP(-($N39+Stoff!$M39*365)*EL39)))</f>
        <v>#VALUE!</v>
      </c>
      <c r="EN39" s="296" t="e">
        <f>($S39+$Q39*($O39+$I39*($D39*(1-Stoff!$P39))*(1-EXP(-($F39+Stoff!$L39*365)*(EL39-'1a. Spredningsmodell input'!$C$35))))*(1-EXP(-($N39+Stoff!$M39*365)*(EL39-'1a. Spredningsmodell input'!$C$35))))</f>
        <v>#VALUE!</v>
      </c>
      <c r="EO39" s="294" t="e">
        <f>IF(EL39&lt;'1a. Spredningsmodell input'!$C$35,EM39-($S39)*EXP(-(Stoff!$N39*365+$U39)*EL39),EM39-EN39)</f>
        <v>#VALUE!</v>
      </c>
      <c r="EP39" s="290" t="e">
        <f>((($D39*(Stoff!$P39))*(1-EXP(-'1a. Spredningsmodell input'!$B$43*EL39)))*(1-EXP(-'1a. Spredningsmodell input'!$B$46*EL39)))</f>
        <v>#VALUE!</v>
      </c>
      <c r="EQ39" s="294" t="e">
        <f>((($D39*(Stoff!$P39))*(1-EXP(-'1a. Spredningsmodell input'!$B$43*(EL39-'1a. Spredningsmodell input'!$C$35))))*(1-EXP(-'1a. Spredningsmodell input'!$B$46*(EL39-'1a. Spredningsmodell input'!$C$35))))</f>
        <v>#VALUE!</v>
      </c>
      <c r="ER39" s="290" t="e">
        <f>IF(EL39&lt;'1a. Spredningsmodell input'!$C$35,0,EP39-EQ39)</f>
        <v>#VALUE!</v>
      </c>
      <c r="ES39" s="297" t="e">
        <f>($S39)*EXP(-(Stoff!$N39*365+$U39)*EL39)+EO39</f>
        <v>#VALUE!</v>
      </c>
      <c r="ET39" s="297" t="e">
        <f>(Stoff!$P39*$S39+ER39)*EXP(-$T39*EL39)</f>
        <v>#VALUE!</v>
      </c>
      <c r="EU39" s="297" t="e">
        <f>(ES39+ET39)*1000000000/('1a. Spredningsmodell input'!$C$36*1000)</f>
        <v>#VALUE!</v>
      </c>
      <c r="EV39" s="262" t="e">
        <f t="shared" si="32"/>
        <v>#VALUE!</v>
      </c>
      <c r="EW39" s="299" t="e">
        <f t="shared" si="33"/>
        <v>#VALUE!</v>
      </c>
      <c r="EX39" s="262" t="e">
        <f t="shared" si="34"/>
        <v>#VALUE!</v>
      </c>
    </row>
    <row r="40" spans="1:154" x14ac:dyDescent="0.35">
      <c r="A40" s="50" t="s">
        <v>170</v>
      </c>
      <c r="B40" s="34" t="str">
        <f>IF(ISNUMBER('1c. Kons. porevann'!E40),1000*'1c. Kons. porevann'!E40,IF(ISNUMBER('1b. Kons. umettet jord'!E40),1000*'1b. Kons. umettet jord'!E40/C40,""))</f>
        <v/>
      </c>
      <c r="C40" s="244">
        <f>IF(Stoff!B40="uorganisk",Stoff!C40,Stoff!D40*'1a. Spredningsmodell input'!$C$11)</f>
        <v>13.49</v>
      </c>
      <c r="D40" s="34" t="str">
        <f>IF(ISNUMBER(B40),0.000001*('1b. Kons. umettet jord'!G40*'1a. Spredningsmodell input'!$C$12+B40*0.001*'1a. Spredningsmodell input'!$C$14)*1000*'1a. Spredningsmodell input'!$B$41*'1a. Spredningsmodell input'!$C$18,"")</f>
        <v/>
      </c>
      <c r="E40" s="283">
        <f>C40*'1a. Spredningsmodell input'!$C$12/'1a. Spredningsmodell input'!$C$14+1</f>
        <v>115.66499999999999</v>
      </c>
      <c r="F40" s="284">
        <f>'1a. Spredningsmodell input'!$B$43/E40</f>
        <v>1.2968486577616392E-2</v>
      </c>
      <c r="G40" s="34" t="e">
        <f>Stoff!P40*Mellomregninger!D40</f>
        <v>#VALUE!</v>
      </c>
      <c r="H40" s="283" t="e">
        <f>(D40-G40)*(F40/(F40+Stoff!L40))</f>
        <v>#VALUE!</v>
      </c>
      <c r="I40" s="283">
        <f>F40/(F40+Stoff!L40)</f>
        <v>1</v>
      </c>
      <c r="J40" s="285" t="str">
        <f>IF(B40="","",IF(ISNUMBER('1d. Kons. mettet sone'!E40),'1d. Kons. mettet sone'!E40,IF(ISNUMBER('1e. Kons. grunnvann'!E40),'1e. Kons. grunnvann'!E40*Mellomregninger!K40,0)))</f>
        <v/>
      </c>
      <c r="K40" s="286">
        <f>IF(Stoff!B40="uorganisk",Stoff!C40,Stoff!D40*'1a. Spredningsmodell input'!$C$24)</f>
        <v>1.349</v>
      </c>
      <c r="L40" s="27" t="e">
        <f>IF(ISNUMBER('1e. Kons. grunnvann'!E40),1000*'1e. Kons. grunnvann'!E40,1000*J40/K40)</f>
        <v>#VALUE!</v>
      </c>
      <c r="M40" s="34">
        <f>K40*'1a. Spredningsmodell input'!$C$25/'1a. Spredningsmodell input'!$C$26+1</f>
        <v>6.7332499999999991</v>
      </c>
      <c r="N40" s="284">
        <f>'1a. Spredningsmodell input'!$C$26/M40</f>
        <v>5.9406675825195869E-2</v>
      </c>
      <c r="O40" s="287" t="e">
        <f>0.000000001*(J40*'1a. Spredningsmodell input'!$C$25+L40)*1000*'1a. Spredningsmodell input'!$B$45</f>
        <v>#VALUE!</v>
      </c>
      <c r="P40" s="287" t="e">
        <f>O40*Stoff!P40</f>
        <v>#VALUE!</v>
      </c>
      <c r="Q40" s="287">
        <f>N40/(N40+Stoff!M40)</f>
        <v>1</v>
      </c>
      <c r="R40" s="288">
        <f>IF(ISNUMBER('1f. Kons. resipient'!E40),'1f. Kons. resipient'!E40,0)</f>
        <v>0</v>
      </c>
      <c r="S40" s="288">
        <f>0.000000001*'1a. Spredningsmodell input'!$C$36*R40*1000</f>
        <v>0</v>
      </c>
      <c r="T40" s="288">
        <f>1/'1a. Spredningsmodell input'!$C$35</f>
        <v>1</v>
      </c>
      <c r="U40" s="288">
        <f>1/'1a. Spredningsmodell input'!$C$35</f>
        <v>1</v>
      </c>
      <c r="V40" s="300" t="e">
        <f>(1/($N40+Stoff!$L40))*(LN(($D40*$I40/($D40*$I40+$J40))*($F40+Stoff!$L40+$N40+Stoff!$M40)/($N40+Stoff!$M40)))</f>
        <v>#VALUE!</v>
      </c>
      <c r="W40" s="290" t="e">
        <f>($D40-Stoff!$P40*$D40)*EXP(-($F40+Stoff!$L40*365)*V40)</f>
        <v>#VALUE!</v>
      </c>
      <c r="X40" s="291" t="e">
        <f>(Stoff!$P40*$D40)*EXP(-'1a. Spredningsmodell input'!$B$43*V40)</f>
        <v>#VALUE!</v>
      </c>
      <c r="Y40" s="290" t="e">
        <f>($D40-Stoff!$P40*$D40-W40)*($F40/($F40+Stoff!$L40*365))</f>
        <v>#VALUE!</v>
      </c>
      <c r="Z40" s="290" t="e">
        <f>(Stoff!$P40*$D40)-X40</f>
        <v>#VALUE!</v>
      </c>
      <c r="AA40" s="290" t="e">
        <f>($O40+Y40)*EXP(-($N40+Stoff!$M40*365)*V40)</f>
        <v>#VALUE!</v>
      </c>
      <c r="AB40" s="290" t="e">
        <f>(Stoff!$P40*$O40+Z40)*EXP(-('1a. Spredningsmodell input'!$B$46)*V40)</f>
        <v>#VALUE!</v>
      </c>
      <c r="AC40" s="292" t="e">
        <f>((AA40+AB40)*1000000000)/('1a. Spredningsmodell input'!$B$45*1000)</f>
        <v>#VALUE!</v>
      </c>
      <c r="AD40" s="294" t="e">
        <f>0.001*AC40/('1a. Spredningsmodell input'!$C$25+'1a. Spredningsmodell input'!$C$26/Mellomregninger!$K40)</f>
        <v>#VALUE!</v>
      </c>
      <c r="AE40" s="294" t="e">
        <f>1000*AD40/$K40+AB40*1000000000/('1a. Spredningsmodell input'!$B$45*1000)</f>
        <v>#VALUE!</v>
      </c>
      <c r="AF40" s="294" t="e">
        <f t="shared" si="0"/>
        <v>#VALUE!</v>
      </c>
      <c r="AG40" s="294" t="e">
        <f>AB40*1000000000/('1a. Spredningsmodell input'!$B$45*1000)</f>
        <v>#VALUE!</v>
      </c>
      <c r="AH40" s="300" t="e">
        <f>(1/('1a. Spredningsmodell input'!$B$46))*(LN(($D40*Stoff!$P40/($D40*Stoff!$P40+$P40*Stoff!$P40))*('1a. Spredningsmodell input'!$B$43+'1a. Spredningsmodell input'!$B$46)/('1a. Spredningsmodell input'!$B$46)))</f>
        <v>#VALUE!</v>
      </c>
      <c r="AI40" s="290" t="e">
        <f>($D40-Stoff!$P40*$D40)*EXP(-($F40+Stoff!$L40*365)*AH40)</f>
        <v>#VALUE!</v>
      </c>
      <c r="AJ40" s="291" t="e">
        <f>(Stoff!$P40*$D40)*EXP(-'1a. Spredningsmodell input'!$B$43*AH40)</f>
        <v>#VALUE!</v>
      </c>
      <c r="AK40" s="290" t="e">
        <f>($D40-Stoff!$P40*$D40-AI40)*($F40/($F40+Stoff!$L40*365))</f>
        <v>#VALUE!</v>
      </c>
      <c r="AL40" s="290" t="e">
        <f>(Stoff!$P40*$D40)-AJ40</f>
        <v>#VALUE!</v>
      </c>
      <c r="AM40" s="290" t="e">
        <f>($O40+AK40)*EXP(-($N40+Stoff!$M40*365)*AH40)</f>
        <v>#VALUE!</v>
      </c>
      <c r="AN40" s="290" t="e">
        <f>(Stoff!$P40*$O40+AL40)*EXP(-('1a. Spredningsmodell input'!$B$46)*AH40)</f>
        <v>#VALUE!</v>
      </c>
      <c r="AO40" s="292" t="e">
        <f>((AM40+AN40)*1000000000)/('1a. Spredningsmodell input'!$B$45*1000)</f>
        <v>#VALUE!</v>
      </c>
      <c r="AP40" s="294" t="e">
        <f>0.001*AO40/('1a. Spredningsmodell input'!$C$25+'1a. Spredningsmodell input'!$C$26/Mellomregninger!$K40)</f>
        <v>#VALUE!</v>
      </c>
      <c r="AQ40" s="294" t="e">
        <f>1000*AP40/$K40+AN40*1000000000/('1a. Spredningsmodell input'!$B$45*1000)</f>
        <v>#VALUE!</v>
      </c>
      <c r="AR40" s="294" t="e">
        <f t="shared" si="1"/>
        <v>#VALUE!</v>
      </c>
      <c r="AS40" s="294" t="e">
        <f>AN40*1000000000/('1a. Spredningsmodell input'!$B$45*1000)</f>
        <v>#VALUE!</v>
      </c>
      <c r="AT40" s="295">
        <f t="shared" si="25"/>
        <v>5</v>
      </c>
      <c r="AU40" s="290" t="e">
        <f>($D40-Stoff!$P40*$D40)*EXP(-($F40+Stoff!$L40*365)*AT40)</f>
        <v>#VALUE!</v>
      </c>
      <c r="AV40" s="291" t="e">
        <f>(Stoff!$P40*$D40)*EXP(-'1a. Spredningsmodell input'!$B$43*AT40)</f>
        <v>#VALUE!</v>
      </c>
      <c r="AW40" s="290" t="e">
        <f>($D40-Stoff!$P40*$D40-AU40)*($F40/($F40+Stoff!$L40*365))</f>
        <v>#VALUE!</v>
      </c>
      <c r="AX40" s="290" t="e">
        <f>(Stoff!$P40*$D40)-AV40</f>
        <v>#VALUE!</v>
      </c>
      <c r="AY40" s="290" t="e">
        <f>($O40+AW40)*EXP(-($N40+Stoff!$M40*365)*AT40)</f>
        <v>#VALUE!</v>
      </c>
      <c r="AZ40" s="290" t="e">
        <f>(Stoff!$P40*$O40+AX40)*EXP(-('1a. Spredningsmodell input'!$B$46)*AT40)</f>
        <v>#VALUE!</v>
      </c>
      <c r="BA40" s="292" t="e">
        <f>((AY40+AZ40)*1000000000)/('1a. Spredningsmodell input'!$B$45*1000)</f>
        <v>#VALUE!</v>
      </c>
      <c r="BB40" s="294" t="e">
        <f>0.001*BA40/('1a. Spredningsmodell input'!$C$25+'1a. Spredningsmodell input'!$C$26/Mellomregninger!$K40)</f>
        <v>#VALUE!</v>
      </c>
      <c r="BC40" s="294" t="e">
        <f>1000*BB40/$K40+AZ40*1000000000/('1a. Spredningsmodell input'!$B$45*1000)</f>
        <v>#VALUE!</v>
      </c>
      <c r="BD40" s="294" t="e">
        <f t="shared" si="2"/>
        <v>#VALUE!</v>
      </c>
      <c r="BE40" s="294" t="e">
        <f>AZ40*1000000000/('1a. Spredningsmodell input'!$B$45*1000)</f>
        <v>#VALUE!</v>
      </c>
      <c r="BF40" s="295">
        <f t="shared" si="26"/>
        <v>20</v>
      </c>
      <c r="BG40" s="290" t="e">
        <f>($D40-Stoff!$P40*$D40)*EXP(-($F40+Stoff!$L40*365)*BF40)</f>
        <v>#VALUE!</v>
      </c>
      <c r="BH40" s="291" t="e">
        <f>(Stoff!$P40*$D40)*EXP(-'1a. Spredningsmodell input'!$B$43*BF40)</f>
        <v>#VALUE!</v>
      </c>
      <c r="BI40" s="290" t="e">
        <f>($D40-Stoff!$P40*$D40-BG40)*($F40/($F40+Stoff!$L40*365))</f>
        <v>#VALUE!</v>
      </c>
      <c r="BJ40" s="290" t="e">
        <f>(Stoff!$P40*$D40)-BH40</f>
        <v>#VALUE!</v>
      </c>
      <c r="BK40" s="290" t="e">
        <f>($O40+BI40)*EXP(-($N40+Stoff!$M40*365)*BF40)</f>
        <v>#VALUE!</v>
      </c>
      <c r="BL40" s="290" t="e">
        <f>(Stoff!$P40*$O40+BJ40)*EXP(-('1a. Spredningsmodell input'!$B$46)*BF40)</f>
        <v>#VALUE!</v>
      </c>
      <c r="BM40" s="292" t="e">
        <f>((BK40+BL40)*1000000000)/('1a. Spredningsmodell input'!$B$45*1000)</f>
        <v>#VALUE!</v>
      </c>
      <c r="BN40" s="294" t="e">
        <f>0.001*BM40/('1a. Spredningsmodell input'!$C$25+'1a. Spredningsmodell input'!$C$26/Mellomregninger!$K40)</f>
        <v>#VALUE!</v>
      </c>
      <c r="BO40" s="294" t="e">
        <f>1000*BN40/$K40+BL40*1000000000/('1a. Spredningsmodell input'!$B$45*1000)</f>
        <v>#VALUE!</v>
      </c>
      <c r="BP40" s="294" t="e">
        <f t="shared" si="3"/>
        <v>#VALUE!</v>
      </c>
      <c r="BQ40" s="294" t="e">
        <f>BL40*1000000000/('1a. Spredningsmodell input'!$B$45*1000)</f>
        <v>#VALUE!</v>
      </c>
      <c r="BR40" s="295">
        <f t="shared" si="27"/>
        <v>100</v>
      </c>
      <c r="BS40" s="290" t="e">
        <f>($D40-Stoff!$P40*$D40)*EXP(-($F40+Stoff!$L40*365)*BR40)</f>
        <v>#VALUE!</v>
      </c>
      <c r="BT40" s="291" t="e">
        <f>(Stoff!$P40*$D40)*EXP(-'1a. Spredningsmodell input'!$B$43*BR40)</f>
        <v>#VALUE!</v>
      </c>
      <c r="BU40" s="290" t="e">
        <f>($D40-Stoff!$P40*$D40-BS40)*($F40/($F40+Stoff!$L40*365))</f>
        <v>#VALUE!</v>
      </c>
      <c r="BV40" s="290" t="e">
        <f>(Stoff!$P40*$D40)-BT40</f>
        <v>#VALUE!</v>
      </c>
      <c r="BW40" s="290" t="e">
        <f>($O40+BU40)*EXP(-($N40+Stoff!$M40*365)*BR40)</f>
        <v>#VALUE!</v>
      </c>
      <c r="BX40" s="290" t="e">
        <f>(Stoff!$P40*$O40+BV40)*EXP(-('1a. Spredningsmodell input'!$B$46)*BR40)</f>
        <v>#VALUE!</v>
      </c>
      <c r="BY40" s="292" t="e">
        <f>((BW40+BX40)*1000000000)/('1a. Spredningsmodell input'!$B$45*1000)</f>
        <v>#VALUE!</v>
      </c>
      <c r="BZ40" s="294" t="e">
        <f>0.001*BY40/('1a. Spredningsmodell input'!$C$25+'1a. Spredningsmodell input'!$C$26/Mellomregninger!$K40)</f>
        <v>#VALUE!</v>
      </c>
      <c r="CA40" s="294" t="e">
        <f>1000*BZ40/$K40+BX40*1000000000/('1a. Spredningsmodell input'!$B$45*1000)</f>
        <v>#VALUE!</v>
      </c>
      <c r="CB40" s="294" t="e">
        <f t="shared" si="4"/>
        <v>#VALUE!</v>
      </c>
      <c r="CC40" s="294" t="e">
        <f>BX40*1000000000/('1a. Spredningsmodell input'!$B$45*1000)</f>
        <v>#VALUE!</v>
      </c>
      <c r="CD40" s="294" t="e">
        <f>V40+'1a. Spredningsmodell input'!$C$35</f>
        <v>#VALUE!</v>
      </c>
      <c r="CE40" s="294" t="e">
        <f>($S40+$Q40*($O40+$I40*($D40*(1-Stoff!$P40))*(1-EXP(-($F40+Stoff!$L40*365)*CD40)))*(1-EXP(-($N40+Stoff!$M40*365)*CD40)))</f>
        <v>#VALUE!</v>
      </c>
      <c r="CF40" s="294" t="e">
        <f t="shared" si="5"/>
        <v>#VALUE!</v>
      </c>
      <c r="CG40" s="296" t="e">
        <f>(CF40/1000000)*'1a. Spredningsmodell input'!$B$49*'1a. Spredningsmodell input'!$C$35</f>
        <v>#VALUE!</v>
      </c>
      <c r="CH40" s="294" t="e">
        <f t="shared" si="17"/>
        <v>#VALUE!</v>
      </c>
      <c r="CI40" s="290" t="e">
        <f>(CH40/1000000)*'1a. Spredningsmodell input'!$B$49*'1a. Spredningsmodell input'!$C$35</f>
        <v>#VALUE!</v>
      </c>
      <c r="CJ40" s="297" t="e">
        <f>($S40)*EXP(-(Stoff!$N40*365+$U40)*CD40)+CG40</f>
        <v>#VALUE!</v>
      </c>
      <c r="CK40" s="297" t="e">
        <f>(Stoff!$P40*$S40+CI40)*EXP(-$T40*CD40)</f>
        <v>#VALUE!</v>
      </c>
      <c r="CL40" s="297" t="e">
        <f>(CJ40+CK40)*1000000000/('1a. Spredningsmodell input'!$C$36*1000)</f>
        <v>#VALUE!</v>
      </c>
      <c r="CM40" s="297" t="e">
        <f>$G40*(1-EXP(-'1a. Spredningsmodell input'!$B$43*Mellomregninger!CD40))*(1-EXP(-'1a. Spredningsmodell input'!$B$46*Mellomregninger!CD40))</f>
        <v>#VALUE!</v>
      </c>
      <c r="CN40" s="297"/>
      <c r="CO40" s="297"/>
      <c r="CP40" s="290">
        <f>IF(ISNUMBER(AH40),AH40+'1a. Spredningsmodell input'!$C$35,'1a. Spredningsmodell input'!$C$35)</f>
        <v>1</v>
      </c>
      <c r="CQ40" s="294" t="e">
        <f>($S40+$Q40*($O40+$I40*($D40*(1-Stoff!$P40))*(1-EXP(-($F40+Stoff!$L40*365)*CP40)))*(1-EXP(-($N40+Stoff!$M40*365)*CP40)))</f>
        <v>#VALUE!</v>
      </c>
      <c r="CR40" s="294" t="e">
        <f t="shared" si="6"/>
        <v>#VALUE!</v>
      </c>
      <c r="CS40" s="296" t="e">
        <f>(CR40/1000000)*('1a. Spredningsmodell input'!$B$49*'1a. Spredningsmodell input'!$C$35)</f>
        <v>#VALUE!</v>
      </c>
      <c r="CT40" s="294" t="e">
        <f t="shared" si="7"/>
        <v>#VALUE!</v>
      </c>
      <c r="CU40" s="290" t="e">
        <f>(CT40/1000000)*('1a. Spredningsmodell input'!$B$49)*'1a. Spredningsmodell input'!$C$35</f>
        <v>#VALUE!</v>
      </c>
      <c r="CV40" s="297" t="e">
        <f>($S40)*EXP(-(Stoff!$N40*365+$U40)*CP40)+CS40</f>
        <v>#VALUE!</v>
      </c>
      <c r="CW40" s="297" t="e">
        <f>(Stoff!$P40*$S40+CU40)*EXP(-$T40*CP40)</f>
        <v>#VALUE!</v>
      </c>
      <c r="CX40" s="297">
        <f>IF(ISERROR(CV40),0,(CV40+CW40)*1000000000/('1a. Spredningsmodell input'!$C$36*1000))</f>
        <v>0</v>
      </c>
      <c r="CY40" s="297" t="e">
        <f>$G40*(1-EXP(-'1a. Spredningsmodell input'!$B$43*Mellomregninger!CP40))*(1-EXP(-'1a. Spredningsmodell input'!$B$46*Mellomregninger!CP40))</f>
        <v>#VALUE!</v>
      </c>
      <c r="CZ40" s="297"/>
      <c r="DA40" s="297"/>
      <c r="DB40" s="262">
        <f t="shared" si="28"/>
        <v>5</v>
      </c>
      <c r="DC40" s="298" t="e">
        <f>($S40+$Q40*($O40+$I40*($D40*(1-Stoff!$P40))*(1-EXP(-($F40+Stoff!$L40*365)*DB40)))*(1-EXP(-($N40+Stoff!$M40*365)*DB40)))</f>
        <v>#VALUE!</v>
      </c>
      <c r="DD40" s="294" t="e">
        <f t="shared" si="8"/>
        <v>#VALUE!</v>
      </c>
      <c r="DE40" s="296" t="e">
        <f>(DD40/1000000)*('1a. Spredningsmodell input'!$B$49)*'1a. Spredningsmodell input'!$C$35</f>
        <v>#VALUE!</v>
      </c>
      <c r="DF40" s="294" t="e">
        <f t="shared" si="19"/>
        <v>#VALUE!</v>
      </c>
      <c r="DG40" s="290" t="e">
        <f>(DF40/1000000)*('1a. Spredningsmodell input'!$B$49)*'1a. Spredningsmodell input'!$C$35</f>
        <v>#VALUE!</v>
      </c>
      <c r="DH40" s="297" t="e">
        <f>($S40)*EXP(-(Stoff!$N40*365+$U40)*DB40)+DE40</f>
        <v>#VALUE!</v>
      </c>
      <c r="DI40" s="297" t="e">
        <f>(Stoff!$P40*$S40+DG40)*EXP(-$T40*DB40)</f>
        <v>#VALUE!</v>
      </c>
      <c r="DJ40" s="297" t="e">
        <f>(DH40+DI40)*1000000000/('1a. Spredningsmodell input'!$C$36*1000)</f>
        <v>#VALUE!</v>
      </c>
      <c r="DK40" s="297" t="e">
        <f>$G40*(1-EXP(-'1a. Spredningsmodell input'!$B$43*Mellomregninger!DB40))*(1-EXP(-'1a. Spredningsmodell input'!$B$46*Mellomregninger!DB40))</f>
        <v>#VALUE!</v>
      </c>
      <c r="DL40" s="297"/>
      <c r="DM40" s="297"/>
      <c r="DN40" s="262">
        <f t="shared" si="29"/>
        <v>20</v>
      </c>
      <c r="DO40" s="298" t="e">
        <f>($S40+$Q40*($O40+$I40*($D40*(1-Stoff!$P40))*(1-EXP(-($F40+Stoff!$L40*365)*DN40)))*(1-EXP(-($N40+Stoff!$M40*365)*DN40)))</f>
        <v>#VALUE!</v>
      </c>
      <c r="DP40" s="294" t="e">
        <f t="shared" si="21"/>
        <v>#VALUE!</v>
      </c>
      <c r="DQ40" s="296" t="e">
        <f>(DP40/1000000)*('1a. Spredningsmodell input'!$B$49)*'1a. Spredningsmodell input'!$C$35</f>
        <v>#VALUE!</v>
      </c>
      <c r="DR40" s="294" t="e">
        <f t="shared" si="9"/>
        <v>#VALUE!</v>
      </c>
      <c r="DS40" s="290" t="e">
        <f>(DR40/1000000)*('1a. Spredningsmodell input'!$B$49)*'1a. Spredningsmodell input'!$C$35</f>
        <v>#VALUE!</v>
      </c>
      <c r="DT40" s="297" t="e">
        <f>($S40)*EXP(-(Stoff!$N40*365+$U40)*DN40)+DQ40</f>
        <v>#VALUE!</v>
      </c>
      <c r="DU40" s="297" t="e">
        <f>(Stoff!$P40*$S40+DS40)*EXP(-$T40*DN40)</f>
        <v>#VALUE!</v>
      </c>
      <c r="DV40" s="297" t="e">
        <f>(DT40+DU40)*1000000000/('1a. Spredningsmodell input'!$C$36*1000)</f>
        <v>#VALUE!</v>
      </c>
      <c r="DW40" s="297" t="e">
        <f>$G40*(1-EXP(-'1a. Spredningsmodell input'!$B$43*Mellomregninger!DN40))*(1-EXP(-'1a. Spredningsmodell input'!$B$46*Mellomregninger!DN40))</f>
        <v>#VALUE!</v>
      </c>
      <c r="DX40" s="297"/>
      <c r="DY40" s="297"/>
      <c r="DZ40" s="262">
        <f t="shared" si="30"/>
        <v>100</v>
      </c>
      <c r="EA40" s="298" t="e">
        <f>($S40+$Q40*($O40+$I40*($D40*(1-Stoff!$P40))*(1-EXP(-($F40+Stoff!$L40*365)*DZ40)))*(1-EXP(-($N40+Stoff!$M40*365)*DZ40)))</f>
        <v>#VALUE!</v>
      </c>
      <c r="EB40" s="294" t="e">
        <f t="shared" si="10"/>
        <v>#VALUE!</v>
      </c>
      <c r="EC40" s="296" t="e">
        <f>(EB40/1000000)*('1a. Spredningsmodell input'!$B$49)*'1a. Spredningsmodell input'!$C$35</f>
        <v>#VALUE!</v>
      </c>
      <c r="ED40" s="294" t="e">
        <f t="shared" si="11"/>
        <v>#VALUE!</v>
      </c>
      <c r="EE40" s="290" t="e">
        <f>(ED40/1000000)*('1a. Spredningsmodell input'!$B$49)*'1a. Spredningsmodell input'!$C$35</f>
        <v>#VALUE!</v>
      </c>
      <c r="EF40" s="297" t="e">
        <f>($S40)*EXP(-(Stoff!$N40*365+$U40)*DZ40)+EC40</f>
        <v>#VALUE!</v>
      </c>
      <c r="EG40" s="297" t="e">
        <f>(Stoff!$P40*$S40+EE40)*EXP(-$T40*DZ40)</f>
        <v>#VALUE!</v>
      </c>
      <c r="EH40" s="297" t="e">
        <f>(EF40+EG40)*1000000000/('1a. Spredningsmodell input'!$C$36*1000)</f>
        <v>#VALUE!</v>
      </c>
      <c r="EI40" s="297" t="e">
        <f>$G40*(1-EXP(-'1a. Spredningsmodell input'!$B$43*Mellomregninger!DZ40))*(1-EXP(-'1a. Spredningsmodell input'!$B$46*Mellomregninger!DZ40))</f>
        <v>#VALUE!</v>
      </c>
      <c r="EJ40" s="297"/>
      <c r="EK40" s="297"/>
      <c r="EL40" s="262">
        <f t="shared" si="31"/>
        <v>1.0000000000000001E+25</v>
      </c>
      <c r="EM40" s="294" t="e">
        <f>($S40+$Q40*($O40+$I40*($D40*(1-Stoff!$P40))*(1-EXP(-($F40+Stoff!$L40*365)*EL40)))*(1-EXP(-($N40+Stoff!$M40*365)*EL40)))</f>
        <v>#VALUE!</v>
      </c>
      <c r="EN40" s="296" t="e">
        <f>($S40+$Q40*($O40+$I40*($D40*(1-Stoff!$P40))*(1-EXP(-($F40+Stoff!$L40*365)*(EL40-'1a. Spredningsmodell input'!$C$35))))*(1-EXP(-($N40+Stoff!$M40*365)*(EL40-'1a. Spredningsmodell input'!$C$35))))</f>
        <v>#VALUE!</v>
      </c>
      <c r="EO40" s="294" t="e">
        <f>IF(EL40&lt;'1a. Spredningsmodell input'!$C$35,EM40-($S40)*EXP(-(Stoff!$N40*365+$U40)*EL40),EM40-EN40)</f>
        <v>#VALUE!</v>
      </c>
      <c r="EP40" s="290" t="e">
        <f>((($D40*(Stoff!$P40))*(1-EXP(-'1a. Spredningsmodell input'!$B$43*EL40)))*(1-EXP(-'1a. Spredningsmodell input'!$B$46*EL40)))</f>
        <v>#VALUE!</v>
      </c>
      <c r="EQ40" s="294" t="e">
        <f>((($D40*(Stoff!$P40))*(1-EXP(-'1a. Spredningsmodell input'!$B$43*(EL40-'1a. Spredningsmodell input'!$C$35))))*(1-EXP(-'1a. Spredningsmodell input'!$B$46*(EL40-'1a. Spredningsmodell input'!$C$35))))</f>
        <v>#VALUE!</v>
      </c>
      <c r="ER40" s="290" t="e">
        <f>IF(EL40&lt;'1a. Spredningsmodell input'!$C$35,0,EP40-EQ40)</f>
        <v>#VALUE!</v>
      </c>
      <c r="ES40" s="297" t="e">
        <f>($S40)*EXP(-(Stoff!$N40*365+$U40)*EL40)+EO40</f>
        <v>#VALUE!</v>
      </c>
      <c r="ET40" s="297" t="e">
        <f>(Stoff!$P40*$S40+ER40)*EXP(-$T40*EL40)</f>
        <v>#VALUE!</v>
      </c>
      <c r="EU40" s="297" t="e">
        <f>(ES40+ET40)*1000000000/('1a. Spredningsmodell input'!$C$36*1000)</f>
        <v>#VALUE!</v>
      </c>
      <c r="EV40" s="262" t="e">
        <f t="shared" si="32"/>
        <v>#VALUE!</v>
      </c>
      <c r="EW40" s="299" t="e">
        <f t="shared" si="33"/>
        <v>#VALUE!</v>
      </c>
      <c r="EX40" s="262" t="e">
        <f t="shared" si="34"/>
        <v>#VALUE!</v>
      </c>
    </row>
    <row r="41" spans="1:154" x14ac:dyDescent="0.35">
      <c r="A41" s="50" t="s">
        <v>169</v>
      </c>
      <c r="B41" s="34" t="str">
        <f>IF(ISNUMBER('1c. Kons. porevann'!E41),1000*'1c. Kons. porevann'!E41,IF(ISNUMBER('1b. Kons. umettet jord'!E41),1000*'1b. Kons. umettet jord'!E41/C41,""))</f>
        <v/>
      </c>
      <c r="C41" s="244">
        <f>IF(Stoff!B41="uorganisk",Stoff!C41,Stoff!D41*'1a. Spredningsmodell input'!$C$11)</f>
        <v>25.7</v>
      </c>
      <c r="D41" s="34" t="str">
        <f>IF(ISNUMBER(B41),0.000001*('1b. Kons. umettet jord'!G41*'1a. Spredningsmodell input'!$C$12+B41*0.001*'1a. Spredningsmodell input'!$C$14)*1000*'1a. Spredningsmodell input'!$B$41*'1a. Spredningsmodell input'!$C$18,"")</f>
        <v/>
      </c>
      <c r="E41" s="283">
        <f>C41*'1a. Spredningsmodell input'!$C$12/'1a. Spredningsmodell input'!$C$14+1</f>
        <v>219.45</v>
      </c>
      <c r="F41" s="284">
        <f>'1a. Spredningsmodell input'!$B$43/E41</f>
        <v>6.835269993164729E-3</v>
      </c>
      <c r="G41" s="34" t="e">
        <f>Stoff!P41*Mellomregninger!D41</f>
        <v>#VALUE!</v>
      </c>
      <c r="H41" s="283" t="e">
        <f>(D41-G41)*(F41/(F41+Stoff!L41))</f>
        <v>#VALUE!</v>
      </c>
      <c r="I41" s="283">
        <f>F41/(F41+Stoff!L41)</f>
        <v>1</v>
      </c>
      <c r="J41" s="285" t="str">
        <f>IF(B41="","",IF(ISNUMBER('1d. Kons. mettet sone'!E41),'1d. Kons. mettet sone'!E41,IF(ISNUMBER('1e. Kons. grunnvann'!E41),'1e. Kons. grunnvann'!E41*Mellomregninger!K41,0)))</f>
        <v/>
      </c>
      <c r="K41" s="286">
        <f>IF(Stoff!B41="uorganisk",Stoff!C41,Stoff!D41*'1a. Spredningsmodell input'!$C$24)</f>
        <v>2.57</v>
      </c>
      <c r="L41" s="27" t="e">
        <f>IF(ISNUMBER('1e. Kons. grunnvann'!E41),1000*'1e. Kons. grunnvann'!E41,1000*J41/K41)</f>
        <v>#VALUE!</v>
      </c>
      <c r="M41" s="34">
        <f>K41*'1a. Spredningsmodell input'!$C$25/'1a. Spredningsmodell input'!$C$26+1</f>
        <v>11.922499999999999</v>
      </c>
      <c r="N41" s="284">
        <f>'1a. Spredningsmodell input'!$C$26/M41</f>
        <v>3.3550010484378279E-2</v>
      </c>
      <c r="O41" s="287" t="e">
        <f>0.000000001*(J41*'1a. Spredningsmodell input'!$C$25+L41)*1000*'1a. Spredningsmodell input'!$B$45</f>
        <v>#VALUE!</v>
      </c>
      <c r="P41" s="287" t="e">
        <f>O41*Stoff!P41</f>
        <v>#VALUE!</v>
      </c>
      <c r="Q41" s="287">
        <f>N41/(N41+Stoff!M41)</f>
        <v>1</v>
      </c>
      <c r="R41" s="288">
        <f>IF(ISNUMBER('1f. Kons. resipient'!E41),'1f. Kons. resipient'!E41,0)</f>
        <v>0</v>
      </c>
      <c r="S41" s="288">
        <f>0.000000001*'1a. Spredningsmodell input'!$C$36*R41*1000</f>
        <v>0</v>
      </c>
      <c r="T41" s="288">
        <f>1/'1a. Spredningsmodell input'!$C$35</f>
        <v>1</v>
      </c>
      <c r="U41" s="288">
        <f>1/'1a. Spredningsmodell input'!$C$35</f>
        <v>1</v>
      </c>
      <c r="V41" s="300" t="e">
        <f>(1/($N41+Stoff!$L41))*(LN(($D41*$I41/($D41*$I41+$J41))*($F41+Stoff!$L41+$N41+Stoff!$M41)/($N41+Stoff!$M41)))</f>
        <v>#VALUE!</v>
      </c>
      <c r="W41" s="290" t="e">
        <f>($D41-Stoff!$P41*$D41)*EXP(-($F41+Stoff!$L41*365)*V41)</f>
        <v>#VALUE!</v>
      </c>
      <c r="X41" s="291" t="e">
        <f>(Stoff!$P41*$D41)*EXP(-'1a. Spredningsmodell input'!$B$43*V41)</f>
        <v>#VALUE!</v>
      </c>
      <c r="Y41" s="290" t="e">
        <f>($D41-Stoff!$P41*$D41-W41)*($F41/($F41+Stoff!$L41*365))</f>
        <v>#VALUE!</v>
      </c>
      <c r="Z41" s="290" t="e">
        <f>(Stoff!$P41*$D41)-X41</f>
        <v>#VALUE!</v>
      </c>
      <c r="AA41" s="290" t="e">
        <f>($O41+Y41)*EXP(-($N41+Stoff!$M41*365)*V41)</f>
        <v>#VALUE!</v>
      </c>
      <c r="AB41" s="290" t="e">
        <f>(Stoff!$P41*$O41+Z41)*EXP(-('1a. Spredningsmodell input'!$B$46)*V41)</f>
        <v>#VALUE!</v>
      </c>
      <c r="AC41" s="292" t="e">
        <f>((AA41+AB41)*1000000000)/('1a. Spredningsmodell input'!$B$45*1000)</f>
        <v>#VALUE!</v>
      </c>
      <c r="AD41" s="294" t="e">
        <f>0.001*AC41/('1a. Spredningsmodell input'!$C$25+'1a. Spredningsmodell input'!$C$26/Mellomregninger!$K41)</f>
        <v>#VALUE!</v>
      </c>
      <c r="AE41" s="294" t="e">
        <f>1000*AD41/$K41+AB41*1000000000/('1a. Spredningsmodell input'!$B$45*1000)</f>
        <v>#VALUE!</v>
      </c>
      <c r="AF41" s="294" t="e">
        <f t="shared" si="0"/>
        <v>#VALUE!</v>
      </c>
      <c r="AG41" s="294" t="e">
        <f>AB41*1000000000/('1a. Spredningsmodell input'!$B$45*1000)</f>
        <v>#VALUE!</v>
      </c>
      <c r="AH41" s="300" t="e">
        <f>(1/('1a. Spredningsmodell input'!$B$46))*(LN(($D41*Stoff!$P41/($D41*Stoff!$P41+$P41*Stoff!$P41))*('1a. Spredningsmodell input'!$B$43+'1a. Spredningsmodell input'!$B$46)/('1a. Spredningsmodell input'!$B$46)))</f>
        <v>#VALUE!</v>
      </c>
      <c r="AI41" s="290" t="e">
        <f>($D41-Stoff!$P41*$D41)*EXP(-($F41+Stoff!$L41*365)*AH41)</f>
        <v>#VALUE!</v>
      </c>
      <c r="AJ41" s="291" t="e">
        <f>(Stoff!$P41*$D41)*EXP(-'1a. Spredningsmodell input'!$B$43*AH41)</f>
        <v>#VALUE!</v>
      </c>
      <c r="AK41" s="290" t="e">
        <f>($D41-Stoff!$P41*$D41-AI41)*($F41/($F41+Stoff!$L41*365))</f>
        <v>#VALUE!</v>
      </c>
      <c r="AL41" s="290" t="e">
        <f>(Stoff!$P41*$D41)-AJ41</f>
        <v>#VALUE!</v>
      </c>
      <c r="AM41" s="290" t="e">
        <f>($O41+AK41)*EXP(-($N41+Stoff!$M41*365)*AH41)</f>
        <v>#VALUE!</v>
      </c>
      <c r="AN41" s="290" t="e">
        <f>(Stoff!$P41*$O41+AL41)*EXP(-('1a. Spredningsmodell input'!$B$46)*AH41)</f>
        <v>#VALUE!</v>
      </c>
      <c r="AO41" s="292" t="e">
        <f>((AM41+AN41)*1000000000)/('1a. Spredningsmodell input'!$B$45*1000)</f>
        <v>#VALUE!</v>
      </c>
      <c r="AP41" s="294" t="e">
        <f>0.001*AO41/('1a. Spredningsmodell input'!$C$25+'1a. Spredningsmodell input'!$C$26/Mellomregninger!$K41)</f>
        <v>#VALUE!</v>
      </c>
      <c r="AQ41" s="294" t="e">
        <f>1000*AP41/$K41+AN41*1000000000/('1a. Spredningsmodell input'!$B$45*1000)</f>
        <v>#VALUE!</v>
      </c>
      <c r="AR41" s="294" t="e">
        <f t="shared" si="1"/>
        <v>#VALUE!</v>
      </c>
      <c r="AS41" s="294" t="e">
        <f>AN41*1000000000/('1a. Spredningsmodell input'!$B$45*1000)</f>
        <v>#VALUE!</v>
      </c>
      <c r="AT41" s="295">
        <f t="shared" si="25"/>
        <v>5</v>
      </c>
      <c r="AU41" s="290" t="e">
        <f>($D41-Stoff!$P41*$D41)*EXP(-($F41+Stoff!$L41*365)*AT41)</f>
        <v>#VALUE!</v>
      </c>
      <c r="AV41" s="291" t="e">
        <f>(Stoff!$P41*$D41)*EXP(-'1a. Spredningsmodell input'!$B$43*AT41)</f>
        <v>#VALUE!</v>
      </c>
      <c r="AW41" s="290" t="e">
        <f>($D41-Stoff!$P41*$D41-AU41)*($F41/($F41+Stoff!$L41*365))</f>
        <v>#VALUE!</v>
      </c>
      <c r="AX41" s="290" t="e">
        <f>(Stoff!$P41*$D41)-AV41</f>
        <v>#VALUE!</v>
      </c>
      <c r="AY41" s="290" t="e">
        <f>($O41+AW41)*EXP(-($N41+Stoff!$M41*365)*AT41)</f>
        <v>#VALUE!</v>
      </c>
      <c r="AZ41" s="290" t="e">
        <f>(Stoff!$P41*$O41+AX41)*EXP(-('1a. Spredningsmodell input'!$B$46)*AT41)</f>
        <v>#VALUE!</v>
      </c>
      <c r="BA41" s="292" t="e">
        <f>((AY41+AZ41)*1000000000)/('1a. Spredningsmodell input'!$B$45*1000)</f>
        <v>#VALUE!</v>
      </c>
      <c r="BB41" s="294" t="e">
        <f>0.001*BA41/('1a. Spredningsmodell input'!$C$25+'1a. Spredningsmodell input'!$C$26/Mellomregninger!$K41)</f>
        <v>#VALUE!</v>
      </c>
      <c r="BC41" s="294" t="e">
        <f>1000*BB41/$K41+AZ41*1000000000/('1a. Spredningsmodell input'!$B$45*1000)</f>
        <v>#VALUE!</v>
      </c>
      <c r="BD41" s="294" t="e">
        <f t="shared" si="2"/>
        <v>#VALUE!</v>
      </c>
      <c r="BE41" s="294" t="e">
        <f>AZ41*1000000000/('1a. Spredningsmodell input'!$B$45*1000)</f>
        <v>#VALUE!</v>
      </c>
      <c r="BF41" s="295">
        <f t="shared" si="26"/>
        <v>20</v>
      </c>
      <c r="BG41" s="290" t="e">
        <f>($D41-Stoff!$P41*$D41)*EXP(-($F41+Stoff!$L41*365)*BF41)</f>
        <v>#VALUE!</v>
      </c>
      <c r="BH41" s="291" t="e">
        <f>(Stoff!$P41*$D41)*EXP(-'1a. Spredningsmodell input'!$B$43*BF41)</f>
        <v>#VALUE!</v>
      </c>
      <c r="BI41" s="290" t="e">
        <f>($D41-Stoff!$P41*$D41-BG41)*($F41/($F41+Stoff!$L41*365))</f>
        <v>#VALUE!</v>
      </c>
      <c r="BJ41" s="290" t="e">
        <f>(Stoff!$P41*$D41)-BH41</f>
        <v>#VALUE!</v>
      </c>
      <c r="BK41" s="290" t="e">
        <f>($O41+BI41)*EXP(-($N41+Stoff!$M41*365)*BF41)</f>
        <v>#VALUE!</v>
      </c>
      <c r="BL41" s="290" t="e">
        <f>(Stoff!$P41*$O41+BJ41)*EXP(-('1a. Spredningsmodell input'!$B$46)*BF41)</f>
        <v>#VALUE!</v>
      </c>
      <c r="BM41" s="292" t="e">
        <f>((BK41+BL41)*1000000000)/('1a. Spredningsmodell input'!$B$45*1000)</f>
        <v>#VALUE!</v>
      </c>
      <c r="BN41" s="294" t="e">
        <f>0.001*BM41/('1a. Spredningsmodell input'!$C$25+'1a. Spredningsmodell input'!$C$26/Mellomregninger!$K41)</f>
        <v>#VALUE!</v>
      </c>
      <c r="BO41" s="294" t="e">
        <f>1000*BN41/$K41+BL41*1000000000/('1a. Spredningsmodell input'!$B$45*1000)</f>
        <v>#VALUE!</v>
      </c>
      <c r="BP41" s="294" t="e">
        <f t="shared" si="3"/>
        <v>#VALUE!</v>
      </c>
      <c r="BQ41" s="294" t="e">
        <f>BL41*1000000000/('1a. Spredningsmodell input'!$B$45*1000)</f>
        <v>#VALUE!</v>
      </c>
      <c r="BR41" s="295">
        <f t="shared" si="27"/>
        <v>100</v>
      </c>
      <c r="BS41" s="290" t="e">
        <f>($D41-Stoff!$P41*$D41)*EXP(-($F41+Stoff!$L41*365)*BR41)</f>
        <v>#VALUE!</v>
      </c>
      <c r="BT41" s="291" t="e">
        <f>(Stoff!$P41*$D41)*EXP(-'1a. Spredningsmodell input'!$B$43*BR41)</f>
        <v>#VALUE!</v>
      </c>
      <c r="BU41" s="290" t="e">
        <f>($D41-Stoff!$P41*$D41-BS41)*($F41/($F41+Stoff!$L41*365))</f>
        <v>#VALUE!</v>
      </c>
      <c r="BV41" s="290" t="e">
        <f>(Stoff!$P41*$D41)-BT41</f>
        <v>#VALUE!</v>
      </c>
      <c r="BW41" s="290" t="e">
        <f>($O41+BU41)*EXP(-($N41+Stoff!$M41*365)*BR41)</f>
        <v>#VALUE!</v>
      </c>
      <c r="BX41" s="290" t="e">
        <f>(Stoff!$P41*$O41+BV41)*EXP(-('1a. Spredningsmodell input'!$B$46)*BR41)</f>
        <v>#VALUE!</v>
      </c>
      <c r="BY41" s="292" t="e">
        <f>((BW41+BX41)*1000000000)/('1a. Spredningsmodell input'!$B$45*1000)</f>
        <v>#VALUE!</v>
      </c>
      <c r="BZ41" s="294" t="e">
        <f>0.001*BY41/('1a. Spredningsmodell input'!$C$25+'1a. Spredningsmodell input'!$C$26/Mellomregninger!$K41)</f>
        <v>#VALUE!</v>
      </c>
      <c r="CA41" s="294" t="e">
        <f>1000*BZ41/$K41+BX41*1000000000/('1a. Spredningsmodell input'!$B$45*1000)</f>
        <v>#VALUE!</v>
      </c>
      <c r="CB41" s="294" t="e">
        <f t="shared" si="4"/>
        <v>#VALUE!</v>
      </c>
      <c r="CC41" s="294" t="e">
        <f>BX41*1000000000/('1a. Spredningsmodell input'!$B$45*1000)</f>
        <v>#VALUE!</v>
      </c>
      <c r="CD41" s="294" t="e">
        <f>V41+'1a. Spredningsmodell input'!$C$35</f>
        <v>#VALUE!</v>
      </c>
      <c r="CE41" s="294" t="e">
        <f>($S41+$Q41*($O41+$I41*($D41*(1-Stoff!$P41))*(1-EXP(-($F41+Stoff!$L41*365)*CD41)))*(1-EXP(-($N41+Stoff!$M41*365)*CD41)))</f>
        <v>#VALUE!</v>
      </c>
      <c r="CF41" s="294" t="e">
        <f t="shared" si="5"/>
        <v>#VALUE!</v>
      </c>
      <c r="CG41" s="296" t="e">
        <f>(CF41/1000000)*'1a. Spredningsmodell input'!$B$49*'1a. Spredningsmodell input'!$C$35</f>
        <v>#VALUE!</v>
      </c>
      <c r="CH41" s="294" t="e">
        <f t="shared" si="17"/>
        <v>#VALUE!</v>
      </c>
      <c r="CI41" s="290" t="e">
        <f>(CH41/1000000)*'1a. Spredningsmodell input'!$B$49*'1a. Spredningsmodell input'!$C$35</f>
        <v>#VALUE!</v>
      </c>
      <c r="CJ41" s="297" t="e">
        <f>($S41)*EXP(-(Stoff!$N41*365+$U41)*CD41)+CG41</f>
        <v>#VALUE!</v>
      </c>
      <c r="CK41" s="297" t="e">
        <f>(Stoff!$P41*$S41+CI41)*EXP(-$T41*CD41)</f>
        <v>#VALUE!</v>
      </c>
      <c r="CL41" s="297" t="e">
        <f>(CJ41+CK41)*1000000000/('1a. Spredningsmodell input'!$C$36*1000)</f>
        <v>#VALUE!</v>
      </c>
      <c r="CM41" s="297" t="e">
        <f>$G41*(1-EXP(-'1a. Spredningsmodell input'!$B$43*Mellomregninger!CD41))*(1-EXP(-'1a. Spredningsmodell input'!$B$46*Mellomregninger!CD41))</f>
        <v>#VALUE!</v>
      </c>
      <c r="CN41" s="297"/>
      <c r="CO41" s="297"/>
      <c r="CP41" s="290">
        <f>IF(ISNUMBER(AH41),AH41+'1a. Spredningsmodell input'!$C$35,'1a. Spredningsmodell input'!$C$35)</f>
        <v>1</v>
      </c>
      <c r="CQ41" s="294" t="e">
        <f>($S41+$Q41*($O41+$I41*($D41*(1-Stoff!$P41))*(1-EXP(-($F41+Stoff!$L41*365)*CP41)))*(1-EXP(-($N41+Stoff!$M41*365)*CP41)))</f>
        <v>#VALUE!</v>
      </c>
      <c r="CR41" s="294" t="e">
        <f t="shared" si="6"/>
        <v>#VALUE!</v>
      </c>
      <c r="CS41" s="296" t="e">
        <f>(CR41/1000000)*('1a. Spredningsmodell input'!$B$49*'1a. Spredningsmodell input'!$C$35)</f>
        <v>#VALUE!</v>
      </c>
      <c r="CT41" s="294" t="e">
        <f t="shared" si="7"/>
        <v>#VALUE!</v>
      </c>
      <c r="CU41" s="290" t="e">
        <f>(CT41/1000000)*('1a. Spredningsmodell input'!$B$49)*'1a. Spredningsmodell input'!$C$35</f>
        <v>#VALUE!</v>
      </c>
      <c r="CV41" s="297" t="e">
        <f>($S41)*EXP(-(Stoff!$N41*365+$U41)*CP41)+CS41</f>
        <v>#VALUE!</v>
      </c>
      <c r="CW41" s="297" t="e">
        <f>(Stoff!$P41*$S41+CU41)*EXP(-$T41*CP41)</f>
        <v>#VALUE!</v>
      </c>
      <c r="CX41" s="297">
        <f>IF(ISERROR(CV41),0,(CV41+CW41)*1000000000/('1a. Spredningsmodell input'!$C$36*1000))</f>
        <v>0</v>
      </c>
      <c r="CY41" s="297" t="e">
        <f>$G41*(1-EXP(-'1a. Spredningsmodell input'!$B$43*Mellomregninger!CP41))*(1-EXP(-'1a. Spredningsmodell input'!$B$46*Mellomregninger!CP41))</f>
        <v>#VALUE!</v>
      </c>
      <c r="CZ41" s="297"/>
      <c r="DA41" s="297"/>
      <c r="DB41" s="262">
        <f t="shared" si="28"/>
        <v>5</v>
      </c>
      <c r="DC41" s="298" t="e">
        <f>($S41+$Q41*($O41+$I41*($D41*(1-Stoff!$P41))*(1-EXP(-($F41+Stoff!$L41*365)*DB41)))*(1-EXP(-($N41+Stoff!$M41*365)*DB41)))</f>
        <v>#VALUE!</v>
      </c>
      <c r="DD41" s="294" t="e">
        <f t="shared" si="8"/>
        <v>#VALUE!</v>
      </c>
      <c r="DE41" s="296" t="e">
        <f>(DD41/1000000)*('1a. Spredningsmodell input'!$B$49)*'1a. Spredningsmodell input'!$C$35</f>
        <v>#VALUE!</v>
      </c>
      <c r="DF41" s="294" t="e">
        <f t="shared" si="19"/>
        <v>#VALUE!</v>
      </c>
      <c r="DG41" s="290" t="e">
        <f>(DF41/1000000)*('1a. Spredningsmodell input'!$B$49)*'1a. Spredningsmodell input'!$C$35</f>
        <v>#VALUE!</v>
      </c>
      <c r="DH41" s="297" t="e">
        <f>($S41)*EXP(-(Stoff!$N41*365+$U41)*DB41)+DE41</f>
        <v>#VALUE!</v>
      </c>
      <c r="DI41" s="297" t="e">
        <f>(Stoff!$P41*$S41+DG41)*EXP(-$T41*DB41)</f>
        <v>#VALUE!</v>
      </c>
      <c r="DJ41" s="297" t="e">
        <f>(DH41+DI41)*1000000000/('1a. Spredningsmodell input'!$C$36*1000)</f>
        <v>#VALUE!</v>
      </c>
      <c r="DK41" s="297" t="e">
        <f>$G41*(1-EXP(-'1a. Spredningsmodell input'!$B$43*Mellomregninger!DB41))*(1-EXP(-'1a. Spredningsmodell input'!$B$46*Mellomregninger!DB41))</f>
        <v>#VALUE!</v>
      </c>
      <c r="DL41" s="297"/>
      <c r="DM41" s="297"/>
      <c r="DN41" s="262">
        <f t="shared" si="29"/>
        <v>20</v>
      </c>
      <c r="DO41" s="298" t="e">
        <f>($S41+$Q41*($O41+$I41*($D41*(1-Stoff!$P41))*(1-EXP(-($F41+Stoff!$L41*365)*DN41)))*(1-EXP(-($N41+Stoff!$M41*365)*DN41)))</f>
        <v>#VALUE!</v>
      </c>
      <c r="DP41" s="294" t="e">
        <f t="shared" si="21"/>
        <v>#VALUE!</v>
      </c>
      <c r="DQ41" s="296" t="e">
        <f>(DP41/1000000)*('1a. Spredningsmodell input'!$B$49)*'1a. Spredningsmodell input'!$C$35</f>
        <v>#VALUE!</v>
      </c>
      <c r="DR41" s="294" t="e">
        <f t="shared" si="9"/>
        <v>#VALUE!</v>
      </c>
      <c r="DS41" s="290" t="e">
        <f>(DR41/1000000)*('1a. Spredningsmodell input'!$B$49)*'1a. Spredningsmodell input'!$C$35</f>
        <v>#VALUE!</v>
      </c>
      <c r="DT41" s="297" t="e">
        <f>($S41)*EXP(-(Stoff!$N41*365+$U41)*DN41)+DQ41</f>
        <v>#VALUE!</v>
      </c>
      <c r="DU41" s="297" t="e">
        <f>(Stoff!$P41*$S41+DS41)*EXP(-$T41*DN41)</f>
        <v>#VALUE!</v>
      </c>
      <c r="DV41" s="297" t="e">
        <f>(DT41+DU41)*1000000000/('1a. Spredningsmodell input'!$C$36*1000)</f>
        <v>#VALUE!</v>
      </c>
      <c r="DW41" s="297" t="e">
        <f>$G41*(1-EXP(-'1a. Spredningsmodell input'!$B$43*Mellomregninger!DN41))*(1-EXP(-'1a. Spredningsmodell input'!$B$46*Mellomregninger!DN41))</f>
        <v>#VALUE!</v>
      </c>
      <c r="DX41" s="297"/>
      <c r="DY41" s="297"/>
      <c r="DZ41" s="262">
        <f t="shared" si="30"/>
        <v>100</v>
      </c>
      <c r="EA41" s="298" t="e">
        <f>($S41+$Q41*($O41+$I41*($D41*(1-Stoff!$P41))*(1-EXP(-($F41+Stoff!$L41*365)*DZ41)))*(1-EXP(-($N41+Stoff!$M41*365)*DZ41)))</f>
        <v>#VALUE!</v>
      </c>
      <c r="EB41" s="294" t="e">
        <f t="shared" si="10"/>
        <v>#VALUE!</v>
      </c>
      <c r="EC41" s="296" t="e">
        <f>(EB41/1000000)*('1a. Spredningsmodell input'!$B$49)*'1a. Spredningsmodell input'!$C$35</f>
        <v>#VALUE!</v>
      </c>
      <c r="ED41" s="294" t="e">
        <f t="shared" si="11"/>
        <v>#VALUE!</v>
      </c>
      <c r="EE41" s="290" t="e">
        <f>(ED41/1000000)*('1a. Spredningsmodell input'!$B$49)*'1a. Spredningsmodell input'!$C$35</f>
        <v>#VALUE!</v>
      </c>
      <c r="EF41" s="297" t="e">
        <f>($S41)*EXP(-(Stoff!$N41*365+$U41)*DZ41)+EC41</f>
        <v>#VALUE!</v>
      </c>
      <c r="EG41" s="297" t="e">
        <f>(Stoff!$P41*$S41+EE41)*EXP(-$T41*DZ41)</f>
        <v>#VALUE!</v>
      </c>
      <c r="EH41" s="297" t="e">
        <f>(EF41+EG41)*1000000000/('1a. Spredningsmodell input'!$C$36*1000)</f>
        <v>#VALUE!</v>
      </c>
      <c r="EI41" s="297" t="e">
        <f>$G41*(1-EXP(-'1a. Spredningsmodell input'!$B$43*Mellomregninger!DZ41))*(1-EXP(-'1a. Spredningsmodell input'!$B$46*Mellomregninger!DZ41))</f>
        <v>#VALUE!</v>
      </c>
      <c r="EJ41" s="297"/>
      <c r="EK41" s="297"/>
      <c r="EL41" s="262">
        <f t="shared" si="31"/>
        <v>1.0000000000000001E+25</v>
      </c>
      <c r="EM41" s="294" t="e">
        <f>($S41+$Q41*($O41+$I41*($D41*(1-Stoff!$P41))*(1-EXP(-($F41+Stoff!$L41*365)*EL41)))*(1-EXP(-($N41+Stoff!$M41*365)*EL41)))</f>
        <v>#VALUE!</v>
      </c>
      <c r="EN41" s="296" t="e">
        <f>($S41+$Q41*($O41+$I41*($D41*(1-Stoff!$P41))*(1-EXP(-($F41+Stoff!$L41*365)*(EL41-'1a. Spredningsmodell input'!$C$35))))*(1-EXP(-($N41+Stoff!$M41*365)*(EL41-'1a. Spredningsmodell input'!$C$35))))</f>
        <v>#VALUE!</v>
      </c>
      <c r="EO41" s="294" t="e">
        <f>IF(EL41&lt;'1a. Spredningsmodell input'!$C$35,EM41-($S41)*EXP(-(Stoff!$N41*365+$U41)*EL41),EM41-EN41)</f>
        <v>#VALUE!</v>
      </c>
      <c r="EP41" s="290" t="e">
        <f>((($D41*(Stoff!$P41))*(1-EXP(-'1a. Spredningsmodell input'!$B$43*EL41)))*(1-EXP(-'1a. Spredningsmodell input'!$B$46*EL41)))</f>
        <v>#VALUE!</v>
      </c>
      <c r="EQ41" s="294" t="e">
        <f>((($D41*(Stoff!$P41))*(1-EXP(-'1a. Spredningsmodell input'!$B$43*(EL41-'1a. Spredningsmodell input'!$C$35))))*(1-EXP(-'1a. Spredningsmodell input'!$B$46*(EL41-'1a. Spredningsmodell input'!$C$35))))</f>
        <v>#VALUE!</v>
      </c>
      <c r="ER41" s="290" t="e">
        <f>IF(EL41&lt;'1a. Spredningsmodell input'!$C$35,0,EP41-EQ41)</f>
        <v>#VALUE!</v>
      </c>
      <c r="ES41" s="297" t="e">
        <f>($S41)*EXP(-(Stoff!$N41*365+$U41)*EL41)+EO41</f>
        <v>#VALUE!</v>
      </c>
      <c r="ET41" s="297" t="e">
        <f>(Stoff!$P41*$S41+ER41)*EXP(-$T41*EL41)</f>
        <v>#VALUE!</v>
      </c>
      <c r="EU41" s="297" t="e">
        <f>(ES41+ET41)*1000000000/('1a. Spredningsmodell input'!$C$36*1000)</f>
        <v>#VALUE!</v>
      </c>
      <c r="EV41" s="262" t="e">
        <f t="shared" si="32"/>
        <v>#VALUE!</v>
      </c>
      <c r="EW41" s="299" t="e">
        <f t="shared" si="33"/>
        <v>#VALUE!</v>
      </c>
      <c r="EX41" s="262" t="e">
        <f t="shared" si="34"/>
        <v>#VALUE!</v>
      </c>
    </row>
    <row r="42" spans="1:154" x14ac:dyDescent="0.35">
      <c r="A42" s="50" t="s">
        <v>168</v>
      </c>
      <c r="B42" s="34" t="str">
        <f>IF(ISNUMBER('1c. Kons. porevann'!E42),1000*'1c. Kons. porevann'!E42,IF(ISNUMBER('1b. Kons. umettet jord'!E42),1000*'1b. Kons. umettet jord'!E42/C42,""))</f>
        <v/>
      </c>
      <c r="C42" s="244">
        <f>IF(Stoff!B42="uorganisk",Stoff!C42,Stoff!D42*'1a. Spredningsmodell input'!$C$11)</f>
        <v>51.29</v>
      </c>
      <c r="D42" s="34" t="str">
        <f>IF(ISNUMBER(B42),0.000001*('1b. Kons. umettet jord'!G42*'1a. Spredningsmodell input'!$C$12+B42*0.001*'1a. Spredningsmodell input'!$C$14)*1000*'1a. Spredningsmodell input'!$B$41*'1a. Spredningsmodell input'!$C$18,"")</f>
        <v/>
      </c>
      <c r="E42" s="283">
        <f>C42*'1a. Spredningsmodell input'!$C$12/'1a. Spredningsmodell input'!$C$14+1</f>
        <v>436.96499999999997</v>
      </c>
      <c r="F42" s="284">
        <f>'1a. Spredningsmodell input'!$B$43/E42</f>
        <v>3.4327692149256801E-3</v>
      </c>
      <c r="G42" s="34" t="e">
        <f>Stoff!P42*Mellomregninger!D42</f>
        <v>#VALUE!</v>
      </c>
      <c r="H42" s="283" t="e">
        <f>(D42-G42)*(F42/(F42+Stoff!L42))</f>
        <v>#VALUE!</v>
      </c>
      <c r="I42" s="283">
        <f>F42/(F42+Stoff!L42)</f>
        <v>1</v>
      </c>
      <c r="J42" s="285" t="str">
        <f>IF(B42="","",IF(ISNUMBER('1d. Kons. mettet sone'!E42),'1d. Kons. mettet sone'!E42,IF(ISNUMBER('1e. Kons. grunnvann'!E42),'1e. Kons. grunnvann'!E42*Mellomregninger!K42,0)))</f>
        <v/>
      </c>
      <c r="K42" s="286">
        <f>IF(Stoff!B42="uorganisk",Stoff!C42,Stoff!D42*'1a. Spredningsmodell input'!$C$24)</f>
        <v>5.1290000000000004</v>
      </c>
      <c r="L42" s="27" t="e">
        <f>IF(ISNUMBER('1e. Kons. grunnvann'!E42),1000*'1e. Kons. grunnvann'!E42,1000*J42/K42)</f>
        <v>#VALUE!</v>
      </c>
      <c r="M42" s="34">
        <f>K42*'1a. Spredningsmodell input'!$C$25/'1a. Spredningsmodell input'!$C$26+1</f>
        <v>22.798249999999999</v>
      </c>
      <c r="N42" s="284">
        <f>'1a. Spredningsmodell input'!$C$26/M42</f>
        <v>1.7545206320660579E-2</v>
      </c>
      <c r="O42" s="287" t="e">
        <f>0.000000001*(J42*'1a. Spredningsmodell input'!$C$25+L42)*1000*'1a. Spredningsmodell input'!$B$45</f>
        <v>#VALUE!</v>
      </c>
      <c r="P42" s="287" t="e">
        <f>O42*Stoff!P42</f>
        <v>#VALUE!</v>
      </c>
      <c r="Q42" s="287">
        <f>N42/(N42+Stoff!M42)</f>
        <v>1</v>
      </c>
      <c r="R42" s="288">
        <f>IF(ISNUMBER('1f. Kons. resipient'!E42),'1f. Kons. resipient'!E42,0)</f>
        <v>0</v>
      </c>
      <c r="S42" s="288">
        <f>0.000000001*'1a. Spredningsmodell input'!$C$36*R42*1000</f>
        <v>0</v>
      </c>
      <c r="T42" s="288">
        <f>1/'1a. Spredningsmodell input'!$C$35</f>
        <v>1</v>
      </c>
      <c r="U42" s="288">
        <f>1/'1a. Spredningsmodell input'!$C$35</f>
        <v>1</v>
      </c>
      <c r="V42" s="300" t="e">
        <f>(1/($N42+Stoff!$L42))*(LN(($D42*$I42/($D42*$I42+$J42))*($F42+Stoff!$L42+$N42+Stoff!$M42)/($N42+Stoff!$M42)))</f>
        <v>#VALUE!</v>
      </c>
      <c r="W42" s="290" t="e">
        <f>($D42-Stoff!$P42*$D42)*EXP(-($F42+Stoff!$L42*365)*V42)</f>
        <v>#VALUE!</v>
      </c>
      <c r="X42" s="291" t="e">
        <f>(Stoff!$P42*$D42)*EXP(-'1a. Spredningsmodell input'!$B$43*V42)</f>
        <v>#VALUE!</v>
      </c>
      <c r="Y42" s="290" t="e">
        <f>($D42-Stoff!$P42*$D42-W42)*($F42/($F42+Stoff!$L42*365))</f>
        <v>#VALUE!</v>
      </c>
      <c r="Z42" s="290" t="e">
        <f>(Stoff!$P42*$D42)-X42</f>
        <v>#VALUE!</v>
      </c>
      <c r="AA42" s="290" t="e">
        <f>($O42+Y42)*EXP(-($N42+Stoff!$M42*365)*V42)</f>
        <v>#VALUE!</v>
      </c>
      <c r="AB42" s="290" t="e">
        <f>(Stoff!$P42*$O42+Z42)*EXP(-('1a. Spredningsmodell input'!$B$46)*V42)</f>
        <v>#VALUE!</v>
      </c>
      <c r="AC42" s="292" t="e">
        <f>((AA42+AB42)*1000000000)/('1a. Spredningsmodell input'!$B$45*1000)</f>
        <v>#VALUE!</v>
      </c>
      <c r="AD42" s="294" t="e">
        <f>0.001*AC42/('1a. Spredningsmodell input'!$C$25+'1a. Spredningsmodell input'!$C$26/Mellomregninger!$K42)</f>
        <v>#VALUE!</v>
      </c>
      <c r="AE42" s="294" t="e">
        <f>1000*AD42/$K42+AB42*1000000000/('1a. Spredningsmodell input'!$B$45*1000)</f>
        <v>#VALUE!</v>
      </c>
      <c r="AF42" s="294" t="e">
        <f t="shared" si="0"/>
        <v>#VALUE!</v>
      </c>
      <c r="AG42" s="294" t="e">
        <f>AB42*1000000000/('1a. Spredningsmodell input'!$B$45*1000)</f>
        <v>#VALUE!</v>
      </c>
      <c r="AH42" s="300" t="e">
        <f>(1/('1a. Spredningsmodell input'!$B$46))*(LN(($D42*Stoff!$P42/($D42*Stoff!$P42+$P42*Stoff!$P42))*('1a. Spredningsmodell input'!$B$43+'1a. Spredningsmodell input'!$B$46)/('1a. Spredningsmodell input'!$B$46)))</f>
        <v>#VALUE!</v>
      </c>
      <c r="AI42" s="290" t="e">
        <f>($D42-Stoff!$P42*$D42)*EXP(-($F42+Stoff!$L42*365)*AH42)</f>
        <v>#VALUE!</v>
      </c>
      <c r="AJ42" s="291" t="e">
        <f>(Stoff!$P42*$D42)*EXP(-'1a. Spredningsmodell input'!$B$43*AH42)</f>
        <v>#VALUE!</v>
      </c>
      <c r="AK42" s="290" t="e">
        <f>($D42-Stoff!$P42*$D42-AI42)*($F42/($F42+Stoff!$L42*365))</f>
        <v>#VALUE!</v>
      </c>
      <c r="AL42" s="290" t="e">
        <f>(Stoff!$P42*$D42)-AJ42</f>
        <v>#VALUE!</v>
      </c>
      <c r="AM42" s="290" t="e">
        <f>($O42+AK42)*EXP(-($N42+Stoff!$M42*365)*AH42)</f>
        <v>#VALUE!</v>
      </c>
      <c r="AN42" s="290" t="e">
        <f>(Stoff!$P42*$O42+AL42)*EXP(-('1a. Spredningsmodell input'!$B$46)*AH42)</f>
        <v>#VALUE!</v>
      </c>
      <c r="AO42" s="292" t="e">
        <f>((AM42+AN42)*1000000000)/('1a. Spredningsmodell input'!$B$45*1000)</f>
        <v>#VALUE!</v>
      </c>
      <c r="AP42" s="294" t="e">
        <f>0.001*AO42/('1a. Spredningsmodell input'!$C$25+'1a. Spredningsmodell input'!$C$26/Mellomregninger!$K42)</f>
        <v>#VALUE!</v>
      </c>
      <c r="AQ42" s="294" t="e">
        <f>1000*AP42/$K42+AN42*1000000000/('1a. Spredningsmodell input'!$B$45*1000)</f>
        <v>#VALUE!</v>
      </c>
      <c r="AR42" s="294" t="e">
        <f t="shared" si="1"/>
        <v>#VALUE!</v>
      </c>
      <c r="AS42" s="294" t="e">
        <f>AN42*1000000000/('1a. Spredningsmodell input'!$B$45*1000)</f>
        <v>#VALUE!</v>
      </c>
      <c r="AT42" s="295">
        <f t="shared" si="25"/>
        <v>5</v>
      </c>
      <c r="AU42" s="290" t="e">
        <f>($D42-Stoff!$P42*$D42)*EXP(-($F42+Stoff!$L42*365)*AT42)</f>
        <v>#VALUE!</v>
      </c>
      <c r="AV42" s="291" t="e">
        <f>(Stoff!$P42*$D42)*EXP(-'1a. Spredningsmodell input'!$B$43*AT42)</f>
        <v>#VALUE!</v>
      </c>
      <c r="AW42" s="290" t="e">
        <f>($D42-Stoff!$P42*$D42-AU42)*($F42/($F42+Stoff!$L42*365))</f>
        <v>#VALUE!</v>
      </c>
      <c r="AX42" s="290" t="e">
        <f>(Stoff!$P42*$D42)-AV42</f>
        <v>#VALUE!</v>
      </c>
      <c r="AY42" s="290" t="e">
        <f>($O42+AW42)*EXP(-($N42+Stoff!$M42*365)*AT42)</f>
        <v>#VALUE!</v>
      </c>
      <c r="AZ42" s="290" t="e">
        <f>(Stoff!$P42*$O42+AX42)*EXP(-('1a. Spredningsmodell input'!$B$46)*AT42)</f>
        <v>#VALUE!</v>
      </c>
      <c r="BA42" s="292" t="e">
        <f>((AY42+AZ42)*1000000000)/('1a. Spredningsmodell input'!$B$45*1000)</f>
        <v>#VALUE!</v>
      </c>
      <c r="BB42" s="294" t="e">
        <f>0.001*BA42/('1a. Spredningsmodell input'!$C$25+'1a. Spredningsmodell input'!$C$26/Mellomregninger!$K42)</f>
        <v>#VALUE!</v>
      </c>
      <c r="BC42" s="294" t="e">
        <f>1000*BB42/$K42+AZ42*1000000000/('1a. Spredningsmodell input'!$B$45*1000)</f>
        <v>#VALUE!</v>
      </c>
      <c r="BD42" s="294" t="e">
        <f t="shared" si="2"/>
        <v>#VALUE!</v>
      </c>
      <c r="BE42" s="294" t="e">
        <f>AZ42*1000000000/('1a. Spredningsmodell input'!$B$45*1000)</f>
        <v>#VALUE!</v>
      </c>
      <c r="BF42" s="295">
        <f t="shared" si="26"/>
        <v>20</v>
      </c>
      <c r="BG42" s="290" t="e">
        <f>($D42-Stoff!$P42*$D42)*EXP(-($F42+Stoff!$L42*365)*BF42)</f>
        <v>#VALUE!</v>
      </c>
      <c r="BH42" s="291" t="e">
        <f>(Stoff!$P42*$D42)*EXP(-'1a. Spredningsmodell input'!$B$43*BF42)</f>
        <v>#VALUE!</v>
      </c>
      <c r="BI42" s="290" t="e">
        <f>($D42-Stoff!$P42*$D42-BG42)*($F42/($F42+Stoff!$L42*365))</f>
        <v>#VALUE!</v>
      </c>
      <c r="BJ42" s="290" t="e">
        <f>(Stoff!$P42*$D42)-BH42</f>
        <v>#VALUE!</v>
      </c>
      <c r="BK42" s="290" t="e">
        <f>($O42+BI42)*EXP(-($N42+Stoff!$M42*365)*BF42)</f>
        <v>#VALUE!</v>
      </c>
      <c r="BL42" s="290" t="e">
        <f>(Stoff!$P42*$O42+BJ42)*EXP(-('1a. Spredningsmodell input'!$B$46)*BF42)</f>
        <v>#VALUE!</v>
      </c>
      <c r="BM42" s="292" t="e">
        <f>((BK42+BL42)*1000000000)/('1a. Spredningsmodell input'!$B$45*1000)</f>
        <v>#VALUE!</v>
      </c>
      <c r="BN42" s="294" t="e">
        <f>0.001*BM42/('1a. Spredningsmodell input'!$C$25+'1a. Spredningsmodell input'!$C$26/Mellomregninger!$K42)</f>
        <v>#VALUE!</v>
      </c>
      <c r="BO42" s="294" t="e">
        <f>1000*BN42/$K42+BL42*1000000000/('1a. Spredningsmodell input'!$B$45*1000)</f>
        <v>#VALUE!</v>
      </c>
      <c r="BP42" s="294" t="e">
        <f t="shared" si="3"/>
        <v>#VALUE!</v>
      </c>
      <c r="BQ42" s="294" t="e">
        <f>BL42*1000000000/('1a. Spredningsmodell input'!$B$45*1000)</f>
        <v>#VALUE!</v>
      </c>
      <c r="BR42" s="295">
        <f t="shared" si="27"/>
        <v>100</v>
      </c>
      <c r="BS42" s="290" t="e">
        <f>($D42-Stoff!$P42*$D42)*EXP(-($F42+Stoff!$L42*365)*BR42)</f>
        <v>#VALUE!</v>
      </c>
      <c r="BT42" s="291" t="e">
        <f>(Stoff!$P42*$D42)*EXP(-'1a. Spredningsmodell input'!$B$43*BR42)</f>
        <v>#VALUE!</v>
      </c>
      <c r="BU42" s="290" t="e">
        <f>($D42-Stoff!$P42*$D42-BS42)*($F42/($F42+Stoff!$L42*365))</f>
        <v>#VALUE!</v>
      </c>
      <c r="BV42" s="290" t="e">
        <f>(Stoff!$P42*$D42)-BT42</f>
        <v>#VALUE!</v>
      </c>
      <c r="BW42" s="290" t="e">
        <f>($O42+BU42)*EXP(-($N42+Stoff!$M42*365)*BR42)</f>
        <v>#VALUE!</v>
      </c>
      <c r="BX42" s="290" t="e">
        <f>(Stoff!$P42*$O42+BV42)*EXP(-('1a. Spredningsmodell input'!$B$46)*BR42)</f>
        <v>#VALUE!</v>
      </c>
      <c r="BY42" s="292" t="e">
        <f>((BW42+BX42)*1000000000)/('1a. Spredningsmodell input'!$B$45*1000)</f>
        <v>#VALUE!</v>
      </c>
      <c r="BZ42" s="294" t="e">
        <f>0.001*BY42/('1a. Spredningsmodell input'!$C$25+'1a. Spredningsmodell input'!$C$26/Mellomregninger!$K42)</f>
        <v>#VALUE!</v>
      </c>
      <c r="CA42" s="294" t="e">
        <f>1000*BZ42/$K42+BX42*1000000000/('1a. Spredningsmodell input'!$B$45*1000)</f>
        <v>#VALUE!</v>
      </c>
      <c r="CB42" s="294" t="e">
        <f t="shared" si="4"/>
        <v>#VALUE!</v>
      </c>
      <c r="CC42" s="294" t="e">
        <f>BX42*1000000000/('1a. Spredningsmodell input'!$B$45*1000)</f>
        <v>#VALUE!</v>
      </c>
      <c r="CD42" s="294" t="e">
        <f>V42+'1a. Spredningsmodell input'!$C$35</f>
        <v>#VALUE!</v>
      </c>
      <c r="CE42" s="294" t="e">
        <f>($S42+$Q42*($O42+$I42*($D42*(1-Stoff!$P42))*(1-EXP(-($F42+Stoff!$L42*365)*CD42)))*(1-EXP(-($N42+Stoff!$M42*365)*CD42)))</f>
        <v>#VALUE!</v>
      </c>
      <c r="CF42" s="294" t="e">
        <f t="shared" si="5"/>
        <v>#VALUE!</v>
      </c>
      <c r="CG42" s="296" t="e">
        <f>(CF42/1000000)*'1a. Spredningsmodell input'!$B$49*'1a. Spredningsmodell input'!$C$35</f>
        <v>#VALUE!</v>
      </c>
      <c r="CH42" s="294" t="e">
        <f t="shared" si="17"/>
        <v>#VALUE!</v>
      </c>
      <c r="CI42" s="290" t="e">
        <f>(CH42/1000000)*'1a. Spredningsmodell input'!$B$49*'1a. Spredningsmodell input'!$C$35</f>
        <v>#VALUE!</v>
      </c>
      <c r="CJ42" s="297" t="e">
        <f>($S42)*EXP(-(Stoff!$N42*365+$U42)*CD42)+CG42</f>
        <v>#VALUE!</v>
      </c>
      <c r="CK42" s="297" t="e">
        <f>(Stoff!$P42*$S42+CI42)*EXP(-$T42*CD42)</f>
        <v>#VALUE!</v>
      </c>
      <c r="CL42" s="297" t="e">
        <f>(CJ42+CK42)*1000000000/('1a. Spredningsmodell input'!$C$36*1000)</f>
        <v>#VALUE!</v>
      </c>
      <c r="CM42" s="297" t="e">
        <f>$G42*(1-EXP(-'1a. Spredningsmodell input'!$B$43*Mellomregninger!CD42))*(1-EXP(-'1a. Spredningsmodell input'!$B$46*Mellomregninger!CD42))</f>
        <v>#VALUE!</v>
      </c>
      <c r="CN42" s="297"/>
      <c r="CO42" s="297"/>
      <c r="CP42" s="290">
        <f>IF(ISNUMBER(AH42),AH42+'1a. Spredningsmodell input'!$C$35,'1a. Spredningsmodell input'!$C$35)</f>
        <v>1</v>
      </c>
      <c r="CQ42" s="294" t="e">
        <f>($S42+$Q42*($O42+$I42*($D42*(1-Stoff!$P42))*(1-EXP(-($F42+Stoff!$L42*365)*CP42)))*(1-EXP(-($N42+Stoff!$M42*365)*CP42)))</f>
        <v>#VALUE!</v>
      </c>
      <c r="CR42" s="294" t="e">
        <f t="shared" si="6"/>
        <v>#VALUE!</v>
      </c>
      <c r="CS42" s="296" t="e">
        <f>(CR42/1000000)*('1a. Spredningsmodell input'!$B$49*'1a. Spredningsmodell input'!$C$35)</f>
        <v>#VALUE!</v>
      </c>
      <c r="CT42" s="294" t="e">
        <f t="shared" si="7"/>
        <v>#VALUE!</v>
      </c>
      <c r="CU42" s="290" t="e">
        <f>(CT42/1000000)*('1a. Spredningsmodell input'!$B$49)*'1a. Spredningsmodell input'!$C$35</f>
        <v>#VALUE!</v>
      </c>
      <c r="CV42" s="297" t="e">
        <f>($S42)*EXP(-(Stoff!$N42*365+$U42)*CP42)+CS42</f>
        <v>#VALUE!</v>
      </c>
      <c r="CW42" s="297" t="e">
        <f>(Stoff!$P42*$S42+CU42)*EXP(-$T42*CP42)</f>
        <v>#VALUE!</v>
      </c>
      <c r="CX42" s="297">
        <f>IF(ISERROR(CV42),0,(CV42+CW42)*1000000000/('1a. Spredningsmodell input'!$C$36*1000))</f>
        <v>0</v>
      </c>
      <c r="CY42" s="297" t="e">
        <f>$G42*(1-EXP(-'1a. Spredningsmodell input'!$B$43*Mellomregninger!CP42))*(1-EXP(-'1a. Spredningsmodell input'!$B$46*Mellomregninger!CP42))</f>
        <v>#VALUE!</v>
      </c>
      <c r="CZ42" s="297"/>
      <c r="DA42" s="297"/>
      <c r="DB42" s="262">
        <f t="shared" si="28"/>
        <v>5</v>
      </c>
      <c r="DC42" s="298" t="e">
        <f>($S42+$Q42*($O42+$I42*($D42*(1-Stoff!$P42))*(1-EXP(-($F42+Stoff!$L42*365)*DB42)))*(1-EXP(-($N42+Stoff!$M42*365)*DB42)))</f>
        <v>#VALUE!</v>
      </c>
      <c r="DD42" s="294" t="e">
        <f t="shared" si="8"/>
        <v>#VALUE!</v>
      </c>
      <c r="DE42" s="296" t="e">
        <f>(DD42/1000000)*('1a. Spredningsmodell input'!$B$49)*'1a. Spredningsmodell input'!$C$35</f>
        <v>#VALUE!</v>
      </c>
      <c r="DF42" s="294" t="e">
        <f t="shared" si="19"/>
        <v>#VALUE!</v>
      </c>
      <c r="DG42" s="290" t="e">
        <f>(DF42/1000000)*('1a. Spredningsmodell input'!$B$49)*'1a. Spredningsmodell input'!$C$35</f>
        <v>#VALUE!</v>
      </c>
      <c r="DH42" s="297" t="e">
        <f>($S42)*EXP(-(Stoff!$N42*365+$U42)*DB42)+DE42</f>
        <v>#VALUE!</v>
      </c>
      <c r="DI42" s="297" t="e">
        <f>(Stoff!$P42*$S42+DG42)*EXP(-$T42*DB42)</f>
        <v>#VALUE!</v>
      </c>
      <c r="DJ42" s="297" t="e">
        <f>(DH42+DI42)*1000000000/('1a. Spredningsmodell input'!$C$36*1000)</f>
        <v>#VALUE!</v>
      </c>
      <c r="DK42" s="297" t="e">
        <f>$G42*(1-EXP(-'1a. Spredningsmodell input'!$B$43*Mellomregninger!DB42))*(1-EXP(-'1a. Spredningsmodell input'!$B$46*Mellomregninger!DB42))</f>
        <v>#VALUE!</v>
      </c>
      <c r="DL42" s="297"/>
      <c r="DM42" s="297"/>
      <c r="DN42" s="262">
        <f t="shared" si="29"/>
        <v>20</v>
      </c>
      <c r="DO42" s="298" t="e">
        <f>($S42+$Q42*($O42+$I42*($D42*(1-Stoff!$P42))*(1-EXP(-($F42+Stoff!$L42*365)*DN42)))*(1-EXP(-($N42+Stoff!$M42*365)*DN42)))</f>
        <v>#VALUE!</v>
      </c>
      <c r="DP42" s="294" t="e">
        <f t="shared" si="21"/>
        <v>#VALUE!</v>
      </c>
      <c r="DQ42" s="296" t="e">
        <f>(DP42/1000000)*('1a. Spredningsmodell input'!$B$49)*'1a. Spredningsmodell input'!$C$35</f>
        <v>#VALUE!</v>
      </c>
      <c r="DR42" s="294" t="e">
        <f t="shared" si="9"/>
        <v>#VALUE!</v>
      </c>
      <c r="DS42" s="290" t="e">
        <f>(DR42/1000000)*('1a. Spredningsmodell input'!$B$49)*'1a. Spredningsmodell input'!$C$35</f>
        <v>#VALUE!</v>
      </c>
      <c r="DT42" s="297" t="e">
        <f>($S42)*EXP(-(Stoff!$N42*365+$U42)*DN42)+DQ42</f>
        <v>#VALUE!</v>
      </c>
      <c r="DU42" s="297" t="e">
        <f>(Stoff!$P42*$S42+DS42)*EXP(-$T42*DN42)</f>
        <v>#VALUE!</v>
      </c>
      <c r="DV42" s="297" t="e">
        <f>(DT42+DU42)*1000000000/('1a. Spredningsmodell input'!$C$36*1000)</f>
        <v>#VALUE!</v>
      </c>
      <c r="DW42" s="297" t="e">
        <f>$G42*(1-EXP(-'1a. Spredningsmodell input'!$B$43*Mellomregninger!DN42))*(1-EXP(-'1a. Spredningsmodell input'!$B$46*Mellomregninger!DN42))</f>
        <v>#VALUE!</v>
      </c>
      <c r="DX42" s="297"/>
      <c r="DY42" s="297"/>
      <c r="DZ42" s="262">
        <f t="shared" si="30"/>
        <v>100</v>
      </c>
      <c r="EA42" s="298" t="e">
        <f>($S42+$Q42*($O42+$I42*($D42*(1-Stoff!$P42))*(1-EXP(-($F42+Stoff!$L42*365)*DZ42)))*(1-EXP(-($N42+Stoff!$M42*365)*DZ42)))</f>
        <v>#VALUE!</v>
      </c>
      <c r="EB42" s="294" t="e">
        <f t="shared" si="10"/>
        <v>#VALUE!</v>
      </c>
      <c r="EC42" s="296" t="e">
        <f>(EB42/1000000)*('1a. Spredningsmodell input'!$B$49)*'1a. Spredningsmodell input'!$C$35</f>
        <v>#VALUE!</v>
      </c>
      <c r="ED42" s="294" t="e">
        <f t="shared" si="11"/>
        <v>#VALUE!</v>
      </c>
      <c r="EE42" s="290" t="e">
        <f>(ED42/1000000)*('1a. Spredningsmodell input'!$B$49)*'1a. Spredningsmodell input'!$C$35</f>
        <v>#VALUE!</v>
      </c>
      <c r="EF42" s="297" t="e">
        <f>($S42)*EXP(-(Stoff!$N42*365+$U42)*DZ42)+EC42</f>
        <v>#VALUE!</v>
      </c>
      <c r="EG42" s="297" t="e">
        <f>(Stoff!$P42*$S42+EE42)*EXP(-$T42*DZ42)</f>
        <v>#VALUE!</v>
      </c>
      <c r="EH42" s="297" t="e">
        <f>(EF42+EG42)*1000000000/('1a. Spredningsmodell input'!$C$36*1000)</f>
        <v>#VALUE!</v>
      </c>
      <c r="EI42" s="297" t="e">
        <f>$G42*(1-EXP(-'1a. Spredningsmodell input'!$B$43*Mellomregninger!DZ42))*(1-EXP(-'1a. Spredningsmodell input'!$B$46*Mellomregninger!DZ42))</f>
        <v>#VALUE!</v>
      </c>
      <c r="EJ42" s="297"/>
      <c r="EK42" s="297"/>
      <c r="EL42" s="262">
        <f t="shared" si="31"/>
        <v>1.0000000000000001E+25</v>
      </c>
      <c r="EM42" s="294" t="e">
        <f>($S42+$Q42*($O42+$I42*($D42*(1-Stoff!$P42))*(1-EXP(-($F42+Stoff!$L42*365)*EL42)))*(1-EXP(-($N42+Stoff!$M42*365)*EL42)))</f>
        <v>#VALUE!</v>
      </c>
      <c r="EN42" s="296" t="e">
        <f>($S42+$Q42*($O42+$I42*($D42*(1-Stoff!$P42))*(1-EXP(-($F42+Stoff!$L42*365)*(EL42-'1a. Spredningsmodell input'!$C$35))))*(1-EXP(-($N42+Stoff!$M42*365)*(EL42-'1a. Spredningsmodell input'!$C$35))))</f>
        <v>#VALUE!</v>
      </c>
      <c r="EO42" s="294" t="e">
        <f>IF(EL42&lt;'1a. Spredningsmodell input'!$C$35,EM42-($S42)*EXP(-(Stoff!$N42*365+$U42)*EL42),EM42-EN42)</f>
        <v>#VALUE!</v>
      </c>
      <c r="EP42" s="290" t="e">
        <f>((($D42*(Stoff!$P42))*(1-EXP(-'1a. Spredningsmodell input'!$B$43*EL42)))*(1-EXP(-'1a. Spredningsmodell input'!$B$46*EL42)))</f>
        <v>#VALUE!</v>
      </c>
      <c r="EQ42" s="294" t="e">
        <f>((($D42*(Stoff!$P42))*(1-EXP(-'1a. Spredningsmodell input'!$B$43*(EL42-'1a. Spredningsmodell input'!$C$35))))*(1-EXP(-'1a. Spredningsmodell input'!$B$46*(EL42-'1a. Spredningsmodell input'!$C$35))))</f>
        <v>#VALUE!</v>
      </c>
      <c r="ER42" s="290" t="e">
        <f>IF(EL42&lt;'1a. Spredningsmodell input'!$C$35,0,EP42-EQ42)</f>
        <v>#VALUE!</v>
      </c>
      <c r="ES42" s="297" t="e">
        <f>($S42)*EXP(-(Stoff!$N42*365+$U42)*EL42)+EO42</f>
        <v>#VALUE!</v>
      </c>
      <c r="ET42" s="297" t="e">
        <f>(Stoff!$P42*$S42+ER42)*EXP(-$T42*EL42)</f>
        <v>#VALUE!</v>
      </c>
      <c r="EU42" s="297" t="e">
        <f>(ES42+ET42)*1000000000/('1a. Spredningsmodell input'!$C$36*1000)</f>
        <v>#VALUE!</v>
      </c>
      <c r="EV42" s="262" t="e">
        <f t="shared" si="32"/>
        <v>#VALUE!</v>
      </c>
      <c r="EW42" s="299" t="e">
        <f t="shared" si="33"/>
        <v>#VALUE!</v>
      </c>
      <c r="EX42" s="262" t="e">
        <f t="shared" si="34"/>
        <v>#VALUE!</v>
      </c>
    </row>
    <row r="43" spans="1:154" x14ac:dyDescent="0.35">
      <c r="A43" s="50" t="s">
        <v>167</v>
      </c>
      <c r="B43" s="34" t="str">
        <f>IF(ISNUMBER('1c. Kons. porevann'!E43),1000*'1c. Kons. porevann'!E43,IF(ISNUMBER('1b. Kons. umettet jord'!E43),1000*'1b. Kons. umettet jord'!E43/C43,""))</f>
        <v/>
      </c>
      <c r="C43" s="244">
        <f>IF(Stoff!B43="uorganisk",Stoff!C43,Stoff!D43*'1a. Spredningsmodell input'!$C$11)</f>
        <v>371.54</v>
      </c>
      <c r="D43" s="34" t="str">
        <f>IF(ISNUMBER(B43),0.000001*('1b. Kons. umettet jord'!G43*'1a. Spredningsmodell input'!$C$12+B43*0.001*'1a. Spredningsmodell input'!$C$14)*1000*'1a. Spredningsmodell input'!$B$41*'1a. Spredningsmodell input'!$C$18,"")</f>
        <v/>
      </c>
      <c r="E43" s="283">
        <f>C43*'1a. Spredningsmodell input'!$C$12/'1a. Spredningsmodell input'!$C$14+1</f>
        <v>3159.09</v>
      </c>
      <c r="F43" s="284">
        <f>'1a. Spredningsmodell input'!$B$43/E43</f>
        <v>4.7482028052382166E-4</v>
      </c>
      <c r="G43" s="34" t="e">
        <f>Stoff!P43*Mellomregninger!D43</f>
        <v>#VALUE!</v>
      </c>
      <c r="H43" s="283" t="e">
        <f>(D43-G43)*(F43/(F43+Stoff!L43))</f>
        <v>#VALUE!</v>
      </c>
      <c r="I43" s="283">
        <f>F43/(F43+Stoff!L43)</f>
        <v>1</v>
      </c>
      <c r="J43" s="285" t="str">
        <f>IF(B43="","",IF(ISNUMBER('1d. Kons. mettet sone'!E43),'1d. Kons. mettet sone'!E43,IF(ISNUMBER('1e. Kons. grunnvann'!E43),'1e. Kons. grunnvann'!E43*Mellomregninger!K43,0)))</f>
        <v/>
      </c>
      <c r="K43" s="286">
        <f>IF(Stoff!B43="uorganisk",Stoff!C43,Stoff!D43*'1a. Spredningsmodell input'!$C$24)</f>
        <v>37.154000000000003</v>
      </c>
      <c r="L43" s="27" t="e">
        <f>IF(ISNUMBER('1e. Kons. grunnvann'!E43),1000*'1e. Kons. grunnvann'!E43,1000*J43/K43)</f>
        <v>#VALUE!</v>
      </c>
      <c r="M43" s="34">
        <f>K43*'1a. Spredningsmodell input'!$C$25/'1a. Spredningsmodell input'!$C$26+1</f>
        <v>158.90450000000001</v>
      </c>
      <c r="N43" s="284">
        <f>'1a. Spredningsmodell input'!$C$26/M43</f>
        <v>2.5172351947238751E-3</v>
      </c>
      <c r="O43" s="287" t="e">
        <f>0.000000001*(J43*'1a. Spredningsmodell input'!$C$25+L43)*1000*'1a. Spredningsmodell input'!$B$45</f>
        <v>#VALUE!</v>
      </c>
      <c r="P43" s="287" t="e">
        <f>O43*Stoff!P43</f>
        <v>#VALUE!</v>
      </c>
      <c r="Q43" s="287">
        <f>N43/(N43+Stoff!M43)</f>
        <v>1</v>
      </c>
      <c r="R43" s="288">
        <f>IF(ISNUMBER('1f. Kons. resipient'!E43),'1f. Kons. resipient'!E43,0)</f>
        <v>0</v>
      </c>
      <c r="S43" s="288">
        <f>0.000000001*'1a. Spredningsmodell input'!$C$36*R43*1000</f>
        <v>0</v>
      </c>
      <c r="T43" s="288">
        <f>1/'1a. Spredningsmodell input'!$C$35</f>
        <v>1</v>
      </c>
      <c r="U43" s="288">
        <f>1/'1a. Spredningsmodell input'!$C$35</f>
        <v>1</v>
      </c>
      <c r="V43" s="300" t="e">
        <f>(1/($N43+Stoff!$L43))*(LN(($D43*$I43/($D43*$I43+$J43))*($F43+Stoff!$L43+$N43+Stoff!$M43)/($N43+Stoff!$M43)))</f>
        <v>#VALUE!</v>
      </c>
      <c r="W43" s="290" t="e">
        <f>($D43-Stoff!$P43*$D43)*EXP(-($F43+Stoff!$L43*365)*V43)</f>
        <v>#VALUE!</v>
      </c>
      <c r="X43" s="291" t="e">
        <f>(Stoff!$P43*$D43)*EXP(-'1a. Spredningsmodell input'!$B$43*V43)</f>
        <v>#VALUE!</v>
      </c>
      <c r="Y43" s="290" t="e">
        <f>($D43-Stoff!$P43*$D43-W43)*($F43/($F43+Stoff!$L43*365))</f>
        <v>#VALUE!</v>
      </c>
      <c r="Z43" s="290" t="e">
        <f>(Stoff!$P43*$D43)-X43</f>
        <v>#VALUE!</v>
      </c>
      <c r="AA43" s="290" t="e">
        <f>($O43+Y43)*EXP(-($N43+Stoff!$M43*365)*V43)</f>
        <v>#VALUE!</v>
      </c>
      <c r="AB43" s="290" t="e">
        <f>(Stoff!$P43*$O43+Z43)*EXP(-('1a. Spredningsmodell input'!$B$46)*V43)</f>
        <v>#VALUE!</v>
      </c>
      <c r="AC43" s="292" t="e">
        <f>((AA43+AB43)*1000000000)/('1a. Spredningsmodell input'!$B$45*1000)</f>
        <v>#VALUE!</v>
      </c>
      <c r="AD43" s="294" t="e">
        <f>0.001*AC43/('1a. Spredningsmodell input'!$C$25+'1a. Spredningsmodell input'!$C$26/Mellomregninger!$K43)</f>
        <v>#VALUE!</v>
      </c>
      <c r="AE43" s="294" t="e">
        <f>1000*AD43/$K43+AB43*1000000000/('1a. Spredningsmodell input'!$B$45*1000)</f>
        <v>#VALUE!</v>
      </c>
      <c r="AF43" s="294" t="e">
        <f t="shared" si="0"/>
        <v>#VALUE!</v>
      </c>
      <c r="AG43" s="294" t="e">
        <f>AB43*1000000000/('1a. Spredningsmodell input'!$B$45*1000)</f>
        <v>#VALUE!</v>
      </c>
      <c r="AH43" s="300" t="e">
        <f>(1/('1a. Spredningsmodell input'!$B$46))*(LN(($D43*Stoff!$P43/($D43*Stoff!$P43+$P43*Stoff!$P43))*('1a. Spredningsmodell input'!$B$43+'1a. Spredningsmodell input'!$B$46)/('1a. Spredningsmodell input'!$B$46)))</f>
        <v>#VALUE!</v>
      </c>
      <c r="AI43" s="290" t="e">
        <f>($D43-Stoff!$P43*$D43)*EXP(-($F43+Stoff!$L43*365)*AH43)</f>
        <v>#VALUE!</v>
      </c>
      <c r="AJ43" s="291" t="e">
        <f>(Stoff!$P43*$D43)*EXP(-'1a. Spredningsmodell input'!$B$43*AH43)</f>
        <v>#VALUE!</v>
      </c>
      <c r="AK43" s="290" t="e">
        <f>($D43-Stoff!$P43*$D43-AI43)*($F43/($F43+Stoff!$L43*365))</f>
        <v>#VALUE!</v>
      </c>
      <c r="AL43" s="290" t="e">
        <f>(Stoff!$P43*$D43)-AJ43</f>
        <v>#VALUE!</v>
      </c>
      <c r="AM43" s="290" t="e">
        <f>($O43+AK43)*EXP(-($N43+Stoff!$M43*365)*AH43)</f>
        <v>#VALUE!</v>
      </c>
      <c r="AN43" s="290" t="e">
        <f>(Stoff!$P43*$O43+AL43)*EXP(-('1a. Spredningsmodell input'!$B$46)*AH43)</f>
        <v>#VALUE!</v>
      </c>
      <c r="AO43" s="292" t="e">
        <f>((AM43+AN43)*1000000000)/('1a. Spredningsmodell input'!$B$45*1000)</f>
        <v>#VALUE!</v>
      </c>
      <c r="AP43" s="294" t="e">
        <f>0.001*AO43/('1a. Spredningsmodell input'!$C$25+'1a. Spredningsmodell input'!$C$26/Mellomregninger!$K43)</f>
        <v>#VALUE!</v>
      </c>
      <c r="AQ43" s="294" t="e">
        <f>1000*AP43/$K43+AN43*1000000000/('1a. Spredningsmodell input'!$B$45*1000)</f>
        <v>#VALUE!</v>
      </c>
      <c r="AR43" s="294" t="e">
        <f t="shared" si="1"/>
        <v>#VALUE!</v>
      </c>
      <c r="AS43" s="294" t="e">
        <f>AN43*1000000000/('1a. Spredningsmodell input'!$B$45*1000)</f>
        <v>#VALUE!</v>
      </c>
      <c r="AT43" s="295">
        <f t="shared" si="25"/>
        <v>5</v>
      </c>
      <c r="AU43" s="290" t="e">
        <f>($D43-Stoff!$P43*$D43)*EXP(-($F43+Stoff!$L43*365)*AT43)</f>
        <v>#VALUE!</v>
      </c>
      <c r="AV43" s="291" t="e">
        <f>(Stoff!$P43*$D43)*EXP(-'1a. Spredningsmodell input'!$B$43*AT43)</f>
        <v>#VALUE!</v>
      </c>
      <c r="AW43" s="290" t="e">
        <f>($D43-Stoff!$P43*$D43-AU43)*($F43/($F43+Stoff!$L43*365))</f>
        <v>#VALUE!</v>
      </c>
      <c r="AX43" s="290" t="e">
        <f>(Stoff!$P43*$D43)-AV43</f>
        <v>#VALUE!</v>
      </c>
      <c r="AY43" s="290" t="e">
        <f>($O43+AW43)*EXP(-($N43+Stoff!$M43*365)*AT43)</f>
        <v>#VALUE!</v>
      </c>
      <c r="AZ43" s="290" t="e">
        <f>(Stoff!$P43*$O43+AX43)*EXP(-('1a. Spredningsmodell input'!$B$46)*AT43)</f>
        <v>#VALUE!</v>
      </c>
      <c r="BA43" s="292" t="e">
        <f>((AY43+AZ43)*1000000000)/('1a. Spredningsmodell input'!$B$45*1000)</f>
        <v>#VALUE!</v>
      </c>
      <c r="BB43" s="294" t="e">
        <f>0.001*BA43/('1a. Spredningsmodell input'!$C$25+'1a. Spredningsmodell input'!$C$26/Mellomregninger!$K43)</f>
        <v>#VALUE!</v>
      </c>
      <c r="BC43" s="294" t="e">
        <f>1000*BB43/$K43+AZ43*1000000000/('1a. Spredningsmodell input'!$B$45*1000)</f>
        <v>#VALUE!</v>
      </c>
      <c r="BD43" s="294" t="e">
        <f t="shared" si="2"/>
        <v>#VALUE!</v>
      </c>
      <c r="BE43" s="294" t="e">
        <f>AZ43*1000000000/('1a. Spredningsmodell input'!$B$45*1000)</f>
        <v>#VALUE!</v>
      </c>
      <c r="BF43" s="295">
        <f t="shared" si="26"/>
        <v>20</v>
      </c>
      <c r="BG43" s="290" t="e">
        <f>($D43-Stoff!$P43*$D43)*EXP(-($F43+Stoff!$L43*365)*BF43)</f>
        <v>#VALUE!</v>
      </c>
      <c r="BH43" s="291" t="e">
        <f>(Stoff!$P43*$D43)*EXP(-'1a. Spredningsmodell input'!$B$43*BF43)</f>
        <v>#VALUE!</v>
      </c>
      <c r="BI43" s="290" t="e">
        <f>($D43-Stoff!$P43*$D43-BG43)*($F43/($F43+Stoff!$L43*365))</f>
        <v>#VALUE!</v>
      </c>
      <c r="BJ43" s="290" t="e">
        <f>(Stoff!$P43*$D43)-BH43</f>
        <v>#VALUE!</v>
      </c>
      <c r="BK43" s="290" t="e">
        <f>($O43+BI43)*EXP(-($N43+Stoff!$M43*365)*BF43)</f>
        <v>#VALUE!</v>
      </c>
      <c r="BL43" s="290" t="e">
        <f>(Stoff!$P43*$O43+BJ43)*EXP(-('1a. Spredningsmodell input'!$B$46)*BF43)</f>
        <v>#VALUE!</v>
      </c>
      <c r="BM43" s="292" t="e">
        <f>((BK43+BL43)*1000000000)/('1a. Spredningsmodell input'!$B$45*1000)</f>
        <v>#VALUE!</v>
      </c>
      <c r="BN43" s="294" t="e">
        <f>0.001*BM43/('1a. Spredningsmodell input'!$C$25+'1a. Spredningsmodell input'!$C$26/Mellomregninger!$K43)</f>
        <v>#VALUE!</v>
      </c>
      <c r="BO43" s="294" t="e">
        <f>1000*BN43/$K43+BL43*1000000000/('1a. Spredningsmodell input'!$B$45*1000)</f>
        <v>#VALUE!</v>
      </c>
      <c r="BP43" s="294" t="e">
        <f t="shared" si="3"/>
        <v>#VALUE!</v>
      </c>
      <c r="BQ43" s="294" t="e">
        <f>BL43*1000000000/('1a. Spredningsmodell input'!$B$45*1000)</f>
        <v>#VALUE!</v>
      </c>
      <c r="BR43" s="295">
        <f t="shared" si="27"/>
        <v>100</v>
      </c>
      <c r="BS43" s="290" t="e">
        <f>($D43-Stoff!$P43*$D43)*EXP(-($F43+Stoff!$L43*365)*BR43)</f>
        <v>#VALUE!</v>
      </c>
      <c r="BT43" s="291" t="e">
        <f>(Stoff!$P43*$D43)*EXP(-'1a. Spredningsmodell input'!$B$43*BR43)</f>
        <v>#VALUE!</v>
      </c>
      <c r="BU43" s="290" t="e">
        <f>($D43-Stoff!$P43*$D43-BS43)*($F43/($F43+Stoff!$L43*365))</f>
        <v>#VALUE!</v>
      </c>
      <c r="BV43" s="290" t="e">
        <f>(Stoff!$P43*$D43)-BT43</f>
        <v>#VALUE!</v>
      </c>
      <c r="BW43" s="290" t="e">
        <f>($O43+BU43)*EXP(-($N43+Stoff!$M43*365)*BR43)</f>
        <v>#VALUE!</v>
      </c>
      <c r="BX43" s="290" t="e">
        <f>(Stoff!$P43*$O43+BV43)*EXP(-('1a. Spredningsmodell input'!$B$46)*BR43)</f>
        <v>#VALUE!</v>
      </c>
      <c r="BY43" s="292" t="e">
        <f>((BW43+BX43)*1000000000)/('1a. Spredningsmodell input'!$B$45*1000)</f>
        <v>#VALUE!</v>
      </c>
      <c r="BZ43" s="294" t="e">
        <f>0.001*BY43/('1a. Spredningsmodell input'!$C$25+'1a. Spredningsmodell input'!$C$26/Mellomregninger!$K43)</f>
        <v>#VALUE!</v>
      </c>
      <c r="CA43" s="294" t="e">
        <f>1000*BZ43/$K43+BX43*1000000000/('1a. Spredningsmodell input'!$B$45*1000)</f>
        <v>#VALUE!</v>
      </c>
      <c r="CB43" s="294" t="e">
        <f t="shared" si="4"/>
        <v>#VALUE!</v>
      </c>
      <c r="CC43" s="294" t="e">
        <f>BX43*1000000000/('1a. Spredningsmodell input'!$B$45*1000)</f>
        <v>#VALUE!</v>
      </c>
      <c r="CD43" s="294" t="e">
        <f>V43+'1a. Spredningsmodell input'!$C$35</f>
        <v>#VALUE!</v>
      </c>
      <c r="CE43" s="294" t="e">
        <f>($S43+$Q43*($O43+$I43*($D43*(1-Stoff!$P43))*(1-EXP(-($F43+Stoff!$L43*365)*CD43)))*(1-EXP(-($N43+Stoff!$M43*365)*CD43)))</f>
        <v>#VALUE!</v>
      </c>
      <c r="CF43" s="294" t="e">
        <f t="shared" si="5"/>
        <v>#VALUE!</v>
      </c>
      <c r="CG43" s="296" t="e">
        <f>(CF43/1000000)*'1a. Spredningsmodell input'!$B$49*'1a. Spredningsmodell input'!$C$35</f>
        <v>#VALUE!</v>
      </c>
      <c r="CH43" s="294" t="e">
        <f t="shared" si="17"/>
        <v>#VALUE!</v>
      </c>
      <c r="CI43" s="290" t="e">
        <f>(CH43/1000000)*'1a. Spredningsmodell input'!$B$49*'1a. Spredningsmodell input'!$C$35</f>
        <v>#VALUE!</v>
      </c>
      <c r="CJ43" s="297" t="e">
        <f>($S43)*EXP(-(Stoff!$N43*365+$U43)*CD43)+CG43</f>
        <v>#VALUE!</v>
      </c>
      <c r="CK43" s="297" t="e">
        <f>(Stoff!$P43*$S43+CI43)*EXP(-$T43*CD43)</f>
        <v>#VALUE!</v>
      </c>
      <c r="CL43" s="297" t="e">
        <f>(CJ43+CK43)*1000000000/('1a. Spredningsmodell input'!$C$36*1000)</f>
        <v>#VALUE!</v>
      </c>
      <c r="CM43" s="297" t="e">
        <f>$G43*(1-EXP(-'1a. Spredningsmodell input'!$B$43*Mellomregninger!CD43))*(1-EXP(-'1a. Spredningsmodell input'!$B$46*Mellomregninger!CD43))</f>
        <v>#VALUE!</v>
      </c>
      <c r="CN43" s="297"/>
      <c r="CO43" s="297"/>
      <c r="CP43" s="290">
        <f>IF(ISNUMBER(AH43),AH43+'1a. Spredningsmodell input'!$C$35,'1a. Spredningsmodell input'!$C$35)</f>
        <v>1</v>
      </c>
      <c r="CQ43" s="294" t="e">
        <f>($S43+$Q43*($O43+$I43*($D43*(1-Stoff!$P43))*(1-EXP(-($F43+Stoff!$L43*365)*CP43)))*(1-EXP(-($N43+Stoff!$M43*365)*CP43)))</f>
        <v>#VALUE!</v>
      </c>
      <c r="CR43" s="294" t="e">
        <f t="shared" si="6"/>
        <v>#VALUE!</v>
      </c>
      <c r="CS43" s="296" t="e">
        <f>(CR43/1000000)*('1a. Spredningsmodell input'!$B$49*'1a. Spredningsmodell input'!$C$35)</f>
        <v>#VALUE!</v>
      </c>
      <c r="CT43" s="294" t="e">
        <f t="shared" si="7"/>
        <v>#VALUE!</v>
      </c>
      <c r="CU43" s="290" t="e">
        <f>(CT43/1000000)*('1a. Spredningsmodell input'!$B$49)*'1a. Spredningsmodell input'!$C$35</f>
        <v>#VALUE!</v>
      </c>
      <c r="CV43" s="297" t="e">
        <f>($S43)*EXP(-(Stoff!$N43*365+$U43)*CP43)+CS43</f>
        <v>#VALUE!</v>
      </c>
      <c r="CW43" s="297" t="e">
        <f>(Stoff!$P43*$S43+CU43)*EXP(-$T43*CP43)</f>
        <v>#VALUE!</v>
      </c>
      <c r="CX43" s="297">
        <f>IF(ISERROR(CV43),0,(CV43+CW43)*1000000000/('1a. Spredningsmodell input'!$C$36*1000))</f>
        <v>0</v>
      </c>
      <c r="CY43" s="297" t="e">
        <f>$G43*(1-EXP(-'1a. Spredningsmodell input'!$B$43*Mellomregninger!CP43))*(1-EXP(-'1a. Spredningsmodell input'!$B$46*Mellomregninger!CP43))</f>
        <v>#VALUE!</v>
      </c>
      <c r="CZ43" s="297"/>
      <c r="DA43" s="297"/>
      <c r="DB43" s="262">
        <f t="shared" si="28"/>
        <v>5</v>
      </c>
      <c r="DC43" s="298" t="e">
        <f>($S43+$Q43*($O43+$I43*($D43*(1-Stoff!$P43))*(1-EXP(-($F43+Stoff!$L43*365)*DB43)))*(1-EXP(-($N43+Stoff!$M43*365)*DB43)))</f>
        <v>#VALUE!</v>
      </c>
      <c r="DD43" s="294" t="e">
        <f t="shared" si="8"/>
        <v>#VALUE!</v>
      </c>
      <c r="DE43" s="296" t="e">
        <f>(DD43/1000000)*('1a. Spredningsmodell input'!$B$49)*'1a. Spredningsmodell input'!$C$35</f>
        <v>#VALUE!</v>
      </c>
      <c r="DF43" s="294" t="e">
        <f t="shared" si="19"/>
        <v>#VALUE!</v>
      </c>
      <c r="DG43" s="290" t="e">
        <f>(DF43/1000000)*('1a. Spredningsmodell input'!$B$49)*'1a. Spredningsmodell input'!$C$35</f>
        <v>#VALUE!</v>
      </c>
      <c r="DH43" s="297" t="e">
        <f>($S43)*EXP(-(Stoff!$N43*365+$U43)*DB43)+DE43</f>
        <v>#VALUE!</v>
      </c>
      <c r="DI43" s="297" t="e">
        <f>(Stoff!$P43*$S43+DG43)*EXP(-$T43*DB43)</f>
        <v>#VALUE!</v>
      </c>
      <c r="DJ43" s="297" t="e">
        <f>(DH43+DI43)*1000000000/('1a. Spredningsmodell input'!$C$36*1000)</f>
        <v>#VALUE!</v>
      </c>
      <c r="DK43" s="297" t="e">
        <f>$G43*(1-EXP(-'1a. Spredningsmodell input'!$B$43*Mellomregninger!DB43))*(1-EXP(-'1a. Spredningsmodell input'!$B$46*Mellomregninger!DB43))</f>
        <v>#VALUE!</v>
      </c>
      <c r="DL43" s="297"/>
      <c r="DM43" s="297"/>
      <c r="DN43" s="262">
        <f t="shared" si="29"/>
        <v>20</v>
      </c>
      <c r="DO43" s="298" t="e">
        <f>($S43+$Q43*($O43+$I43*($D43*(1-Stoff!$P43))*(1-EXP(-($F43+Stoff!$L43*365)*DN43)))*(1-EXP(-($N43+Stoff!$M43*365)*DN43)))</f>
        <v>#VALUE!</v>
      </c>
      <c r="DP43" s="294" t="e">
        <f t="shared" si="21"/>
        <v>#VALUE!</v>
      </c>
      <c r="DQ43" s="296" t="e">
        <f>(DP43/1000000)*('1a. Spredningsmodell input'!$B$49)*'1a. Spredningsmodell input'!$C$35</f>
        <v>#VALUE!</v>
      </c>
      <c r="DR43" s="294" t="e">
        <f t="shared" si="9"/>
        <v>#VALUE!</v>
      </c>
      <c r="DS43" s="290" t="e">
        <f>(DR43/1000000)*('1a. Spredningsmodell input'!$B$49)*'1a. Spredningsmodell input'!$C$35</f>
        <v>#VALUE!</v>
      </c>
      <c r="DT43" s="297" t="e">
        <f>($S43)*EXP(-(Stoff!$N43*365+$U43)*DN43)+DQ43</f>
        <v>#VALUE!</v>
      </c>
      <c r="DU43" s="297" t="e">
        <f>(Stoff!$P43*$S43+DS43)*EXP(-$T43*DN43)</f>
        <v>#VALUE!</v>
      </c>
      <c r="DV43" s="297" t="e">
        <f>(DT43+DU43)*1000000000/('1a. Spredningsmodell input'!$C$36*1000)</f>
        <v>#VALUE!</v>
      </c>
      <c r="DW43" s="297" t="e">
        <f>$G43*(1-EXP(-'1a. Spredningsmodell input'!$B$43*Mellomregninger!DN43))*(1-EXP(-'1a. Spredningsmodell input'!$B$46*Mellomregninger!DN43))</f>
        <v>#VALUE!</v>
      </c>
      <c r="DX43" s="297"/>
      <c r="DY43" s="297"/>
      <c r="DZ43" s="262">
        <f t="shared" si="30"/>
        <v>100</v>
      </c>
      <c r="EA43" s="298" t="e">
        <f>($S43+$Q43*($O43+$I43*($D43*(1-Stoff!$P43))*(1-EXP(-($F43+Stoff!$L43*365)*DZ43)))*(1-EXP(-($N43+Stoff!$M43*365)*DZ43)))</f>
        <v>#VALUE!</v>
      </c>
      <c r="EB43" s="294" t="e">
        <f t="shared" si="10"/>
        <v>#VALUE!</v>
      </c>
      <c r="EC43" s="296" t="e">
        <f>(EB43/1000000)*('1a. Spredningsmodell input'!$B$49)*'1a. Spredningsmodell input'!$C$35</f>
        <v>#VALUE!</v>
      </c>
      <c r="ED43" s="294" t="e">
        <f t="shared" si="11"/>
        <v>#VALUE!</v>
      </c>
      <c r="EE43" s="290" t="e">
        <f>(ED43/1000000)*('1a. Spredningsmodell input'!$B$49)*'1a. Spredningsmodell input'!$C$35</f>
        <v>#VALUE!</v>
      </c>
      <c r="EF43" s="297" t="e">
        <f>($S43)*EXP(-(Stoff!$N43*365+$U43)*DZ43)+EC43</f>
        <v>#VALUE!</v>
      </c>
      <c r="EG43" s="297" t="e">
        <f>(Stoff!$P43*$S43+EE43)*EXP(-$T43*DZ43)</f>
        <v>#VALUE!</v>
      </c>
      <c r="EH43" s="297" t="e">
        <f>(EF43+EG43)*1000000000/('1a. Spredningsmodell input'!$C$36*1000)</f>
        <v>#VALUE!</v>
      </c>
      <c r="EI43" s="297" t="e">
        <f>$G43*(1-EXP(-'1a. Spredningsmodell input'!$B$43*Mellomregninger!DZ43))*(1-EXP(-'1a. Spredningsmodell input'!$B$46*Mellomregninger!DZ43))</f>
        <v>#VALUE!</v>
      </c>
      <c r="EJ43" s="297"/>
      <c r="EK43" s="297"/>
      <c r="EL43" s="262">
        <f t="shared" si="31"/>
        <v>1.0000000000000001E+25</v>
      </c>
      <c r="EM43" s="294" t="e">
        <f>($S43+$Q43*($O43+$I43*($D43*(1-Stoff!$P43))*(1-EXP(-($F43+Stoff!$L43*365)*EL43)))*(1-EXP(-($N43+Stoff!$M43*365)*EL43)))</f>
        <v>#VALUE!</v>
      </c>
      <c r="EN43" s="296" t="e">
        <f>($S43+$Q43*($O43+$I43*($D43*(1-Stoff!$P43))*(1-EXP(-($F43+Stoff!$L43*365)*(EL43-'1a. Spredningsmodell input'!$C$35))))*(1-EXP(-($N43+Stoff!$M43*365)*(EL43-'1a. Spredningsmodell input'!$C$35))))</f>
        <v>#VALUE!</v>
      </c>
      <c r="EO43" s="294" t="e">
        <f>IF(EL43&lt;'1a. Spredningsmodell input'!$C$35,EM43-($S43)*EXP(-(Stoff!$N43*365+$U43)*EL43),EM43-EN43)</f>
        <v>#VALUE!</v>
      </c>
      <c r="EP43" s="290" t="e">
        <f>((($D43*(Stoff!$P43))*(1-EXP(-'1a. Spredningsmodell input'!$B$43*EL43)))*(1-EXP(-'1a. Spredningsmodell input'!$B$46*EL43)))</f>
        <v>#VALUE!</v>
      </c>
      <c r="EQ43" s="294" t="e">
        <f>((($D43*(Stoff!$P43))*(1-EXP(-'1a. Spredningsmodell input'!$B$43*(EL43-'1a. Spredningsmodell input'!$C$35))))*(1-EXP(-'1a. Spredningsmodell input'!$B$46*(EL43-'1a. Spredningsmodell input'!$C$35))))</f>
        <v>#VALUE!</v>
      </c>
      <c r="ER43" s="290" t="e">
        <f>IF(EL43&lt;'1a. Spredningsmodell input'!$C$35,0,EP43-EQ43)</f>
        <v>#VALUE!</v>
      </c>
      <c r="ES43" s="297" t="e">
        <f>($S43)*EXP(-(Stoff!$N43*365+$U43)*EL43)+EO43</f>
        <v>#VALUE!</v>
      </c>
      <c r="ET43" s="297" t="e">
        <f>(Stoff!$P43*$S43+ER43)*EXP(-$T43*EL43)</f>
        <v>#VALUE!</v>
      </c>
      <c r="EU43" s="297" t="e">
        <f>(ES43+ET43)*1000000000/('1a. Spredningsmodell input'!$C$36*1000)</f>
        <v>#VALUE!</v>
      </c>
      <c r="EV43" s="262" t="e">
        <f t="shared" si="32"/>
        <v>#VALUE!</v>
      </c>
      <c r="EW43" s="299" t="e">
        <f t="shared" si="33"/>
        <v>#VALUE!</v>
      </c>
      <c r="EX43" s="262" t="e">
        <f t="shared" si="34"/>
        <v>#VALUE!</v>
      </c>
    </row>
    <row r="44" spans="1:154" x14ac:dyDescent="0.35">
      <c r="A44" s="50" t="s">
        <v>166</v>
      </c>
      <c r="B44" s="34" t="str">
        <f>IF(ISNUMBER('1c. Kons. porevann'!E44),1000*'1c. Kons. porevann'!E44,IF(ISNUMBER('1b. Kons. umettet jord'!E44),1000*'1b. Kons. umettet jord'!E44/C44,""))</f>
        <v/>
      </c>
      <c r="C44" s="244">
        <f>IF(Stoff!B44="uorganisk",Stoff!C44,Stoff!D44*'1a. Spredningsmodell input'!$C$11)</f>
        <v>295.12</v>
      </c>
      <c r="D44" s="34" t="str">
        <f>IF(ISNUMBER(B44),0.000001*('1b. Kons. umettet jord'!G44*'1a. Spredningsmodell input'!$C$12+B44*0.001*'1a. Spredningsmodell input'!$C$14)*1000*'1a. Spredningsmodell input'!$B$41*'1a. Spredningsmodell input'!$C$18,"")</f>
        <v/>
      </c>
      <c r="E44" s="283">
        <f>C44*'1a. Spredningsmodell input'!$C$12/'1a. Spredningsmodell input'!$C$14+1</f>
        <v>2509.52</v>
      </c>
      <c r="F44" s="284">
        <f>'1a. Spredningsmodell input'!$B$43/E44</f>
        <v>5.9772386751251222E-4</v>
      </c>
      <c r="G44" s="34" t="e">
        <f>Stoff!P44*Mellomregninger!D44</f>
        <v>#VALUE!</v>
      </c>
      <c r="H44" s="283" t="e">
        <f>(D44-G44)*(F44/(F44+Stoff!L44))</f>
        <v>#VALUE!</v>
      </c>
      <c r="I44" s="283">
        <f>F44/(F44+Stoff!L44)</f>
        <v>1</v>
      </c>
      <c r="J44" s="285" t="str">
        <f>IF(B44="","",IF(ISNUMBER('1d. Kons. mettet sone'!E44),'1d. Kons. mettet sone'!E44,IF(ISNUMBER('1e. Kons. grunnvann'!E44),'1e. Kons. grunnvann'!E44*Mellomregninger!K44,0)))</f>
        <v/>
      </c>
      <c r="K44" s="286">
        <f>IF(Stoff!B44="uorganisk",Stoff!C44,Stoff!D44*'1a. Spredningsmodell input'!$C$24)</f>
        <v>29.512</v>
      </c>
      <c r="L44" s="27" t="e">
        <f>IF(ISNUMBER('1e. Kons. grunnvann'!E44),1000*'1e. Kons. grunnvann'!E44,1000*J44/K44)</f>
        <v>#VALUE!</v>
      </c>
      <c r="M44" s="34">
        <f>K44*'1a. Spredningsmodell input'!$C$25/'1a. Spredningsmodell input'!$C$26+1</f>
        <v>126.426</v>
      </c>
      <c r="N44" s="284">
        <f>'1a. Spredningsmodell input'!$C$26/M44</f>
        <v>3.1639061585433379E-3</v>
      </c>
      <c r="O44" s="287" t="e">
        <f>0.000000001*(J44*'1a. Spredningsmodell input'!$C$25+L44)*1000*'1a. Spredningsmodell input'!$B$45</f>
        <v>#VALUE!</v>
      </c>
      <c r="P44" s="287" t="e">
        <f>O44*Stoff!P44</f>
        <v>#VALUE!</v>
      </c>
      <c r="Q44" s="287">
        <f>N44/(N44+Stoff!M44)</f>
        <v>1</v>
      </c>
      <c r="R44" s="288">
        <f>IF(ISNUMBER('1f. Kons. resipient'!E44),'1f. Kons. resipient'!E44,0)</f>
        <v>0</v>
      </c>
      <c r="S44" s="288">
        <f>0.000000001*'1a. Spredningsmodell input'!$C$36*R44*1000</f>
        <v>0</v>
      </c>
      <c r="T44" s="288">
        <f>1/'1a. Spredningsmodell input'!$C$35</f>
        <v>1</v>
      </c>
      <c r="U44" s="288">
        <f>1/'1a. Spredningsmodell input'!$C$35</f>
        <v>1</v>
      </c>
      <c r="V44" s="300" t="e">
        <f>(1/($N44+Stoff!$L44))*(LN(($D44*$I44/($D44*$I44+$J44))*($F44+Stoff!$L44+$N44+Stoff!$M44)/($N44+Stoff!$M44)))</f>
        <v>#VALUE!</v>
      </c>
      <c r="W44" s="290" t="e">
        <f>($D44-Stoff!$P44*$D44)*EXP(-($F44+Stoff!$L44*365)*V44)</f>
        <v>#VALUE!</v>
      </c>
      <c r="X44" s="291" t="e">
        <f>(Stoff!$P44*$D44)*EXP(-'1a. Spredningsmodell input'!$B$43*V44)</f>
        <v>#VALUE!</v>
      </c>
      <c r="Y44" s="290" t="e">
        <f>($D44-Stoff!$P44*$D44-W44)*($F44/($F44+Stoff!$L44*365))</f>
        <v>#VALUE!</v>
      </c>
      <c r="Z44" s="290" t="e">
        <f>(Stoff!$P44*$D44)-X44</f>
        <v>#VALUE!</v>
      </c>
      <c r="AA44" s="290" t="e">
        <f>($O44+Y44)*EXP(-($N44+Stoff!$M44*365)*V44)</f>
        <v>#VALUE!</v>
      </c>
      <c r="AB44" s="290" t="e">
        <f>(Stoff!$P44*$O44+Z44)*EXP(-('1a. Spredningsmodell input'!$B$46)*V44)</f>
        <v>#VALUE!</v>
      </c>
      <c r="AC44" s="292" t="e">
        <f>((AA44+AB44)*1000000000)/('1a. Spredningsmodell input'!$B$45*1000)</f>
        <v>#VALUE!</v>
      </c>
      <c r="AD44" s="294" t="e">
        <f>0.001*AC44/('1a. Spredningsmodell input'!$C$25+'1a. Spredningsmodell input'!$C$26/Mellomregninger!$K44)</f>
        <v>#VALUE!</v>
      </c>
      <c r="AE44" s="294" t="e">
        <f>1000*AD44/$K44+AB44*1000000000/('1a. Spredningsmodell input'!$B$45*1000)</f>
        <v>#VALUE!</v>
      </c>
      <c r="AF44" s="294" t="e">
        <f t="shared" si="0"/>
        <v>#VALUE!</v>
      </c>
      <c r="AG44" s="294" t="e">
        <f>AB44*1000000000/('1a. Spredningsmodell input'!$B$45*1000)</f>
        <v>#VALUE!</v>
      </c>
      <c r="AH44" s="300" t="e">
        <f>(1/('1a. Spredningsmodell input'!$B$46))*(LN(($D44*Stoff!$P44/($D44*Stoff!$P44+$P44*Stoff!$P44))*('1a. Spredningsmodell input'!$B$43+'1a. Spredningsmodell input'!$B$46)/('1a. Spredningsmodell input'!$B$46)))</f>
        <v>#VALUE!</v>
      </c>
      <c r="AI44" s="290" t="e">
        <f>($D44-Stoff!$P44*$D44)*EXP(-($F44+Stoff!$L44*365)*AH44)</f>
        <v>#VALUE!</v>
      </c>
      <c r="AJ44" s="291" t="e">
        <f>(Stoff!$P44*$D44)*EXP(-'1a. Spredningsmodell input'!$B$43*AH44)</f>
        <v>#VALUE!</v>
      </c>
      <c r="AK44" s="290" t="e">
        <f>($D44-Stoff!$P44*$D44-AI44)*($F44/($F44+Stoff!$L44*365))</f>
        <v>#VALUE!</v>
      </c>
      <c r="AL44" s="290" t="e">
        <f>(Stoff!$P44*$D44)-AJ44</f>
        <v>#VALUE!</v>
      </c>
      <c r="AM44" s="290" t="e">
        <f>($O44+AK44)*EXP(-($N44+Stoff!$M44*365)*AH44)</f>
        <v>#VALUE!</v>
      </c>
      <c r="AN44" s="290" t="e">
        <f>(Stoff!$P44*$O44+AL44)*EXP(-('1a. Spredningsmodell input'!$B$46)*AH44)</f>
        <v>#VALUE!</v>
      </c>
      <c r="AO44" s="292" t="e">
        <f>((AM44+AN44)*1000000000)/('1a. Spredningsmodell input'!$B$45*1000)</f>
        <v>#VALUE!</v>
      </c>
      <c r="AP44" s="294" t="e">
        <f>0.001*AO44/('1a. Spredningsmodell input'!$C$25+'1a. Spredningsmodell input'!$C$26/Mellomregninger!$K44)</f>
        <v>#VALUE!</v>
      </c>
      <c r="AQ44" s="294" t="e">
        <f>1000*AP44/$K44+AN44*1000000000/('1a. Spredningsmodell input'!$B$45*1000)</f>
        <v>#VALUE!</v>
      </c>
      <c r="AR44" s="294" t="e">
        <f t="shared" si="1"/>
        <v>#VALUE!</v>
      </c>
      <c r="AS44" s="294" t="e">
        <f>AN44*1000000000/('1a. Spredningsmodell input'!$B$45*1000)</f>
        <v>#VALUE!</v>
      </c>
      <c r="AT44" s="295">
        <f t="shared" si="25"/>
        <v>5</v>
      </c>
      <c r="AU44" s="290" t="e">
        <f>($D44-Stoff!$P44*$D44)*EXP(-($F44+Stoff!$L44*365)*AT44)</f>
        <v>#VALUE!</v>
      </c>
      <c r="AV44" s="291" t="e">
        <f>(Stoff!$P44*$D44)*EXP(-'1a. Spredningsmodell input'!$B$43*AT44)</f>
        <v>#VALUE!</v>
      </c>
      <c r="AW44" s="290" t="e">
        <f>($D44-Stoff!$P44*$D44-AU44)*($F44/($F44+Stoff!$L44*365))</f>
        <v>#VALUE!</v>
      </c>
      <c r="AX44" s="290" t="e">
        <f>(Stoff!$P44*$D44)-AV44</f>
        <v>#VALUE!</v>
      </c>
      <c r="AY44" s="290" t="e">
        <f>($O44+AW44)*EXP(-($N44+Stoff!$M44*365)*AT44)</f>
        <v>#VALUE!</v>
      </c>
      <c r="AZ44" s="290" t="e">
        <f>(Stoff!$P44*$O44+AX44)*EXP(-('1a. Spredningsmodell input'!$B$46)*AT44)</f>
        <v>#VALUE!</v>
      </c>
      <c r="BA44" s="292" t="e">
        <f>((AY44+AZ44)*1000000000)/('1a. Spredningsmodell input'!$B$45*1000)</f>
        <v>#VALUE!</v>
      </c>
      <c r="BB44" s="294" t="e">
        <f>0.001*BA44/('1a. Spredningsmodell input'!$C$25+'1a. Spredningsmodell input'!$C$26/Mellomregninger!$K44)</f>
        <v>#VALUE!</v>
      </c>
      <c r="BC44" s="294" t="e">
        <f>1000*BB44/$K44+AZ44*1000000000/('1a. Spredningsmodell input'!$B$45*1000)</f>
        <v>#VALUE!</v>
      </c>
      <c r="BD44" s="294" t="e">
        <f t="shared" si="2"/>
        <v>#VALUE!</v>
      </c>
      <c r="BE44" s="294" t="e">
        <f>AZ44*1000000000/('1a. Spredningsmodell input'!$B$45*1000)</f>
        <v>#VALUE!</v>
      </c>
      <c r="BF44" s="295">
        <f t="shared" si="26"/>
        <v>20</v>
      </c>
      <c r="BG44" s="290" t="e">
        <f>($D44-Stoff!$P44*$D44)*EXP(-($F44+Stoff!$L44*365)*BF44)</f>
        <v>#VALUE!</v>
      </c>
      <c r="BH44" s="291" t="e">
        <f>(Stoff!$P44*$D44)*EXP(-'1a. Spredningsmodell input'!$B$43*BF44)</f>
        <v>#VALUE!</v>
      </c>
      <c r="BI44" s="290" t="e">
        <f>($D44-Stoff!$P44*$D44-BG44)*($F44/($F44+Stoff!$L44*365))</f>
        <v>#VALUE!</v>
      </c>
      <c r="BJ44" s="290" t="e">
        <f>(Stoff!$P44*$D44)-BH44</f>
        <v>#VALUE!</v>
      </c>
      <c r="BK44" s="290" t="e">
        <f>($O44+BI44)*EXP(-($N44+Stoff!$M44*365)*BF44)</f>
        <v>#VALUE!</v>
      </c>
      <c r="BL44" s="290" t="e">
        <f>(Stoff!$P44*$O44+BJ44)*EXP(-('1a. Spredningsmodell input'!$B$46)*BF44)</f>
        <v>#VALUE!</v>
      </c>
      <c r="BM44" s="292" t="e">
        <f>((BK44+BL44)*1000000000)/('1a. Spredningsmodell input'!$B$45*1000)</f>
        <v>#VALUE!</v>
      </c>
      <c r="BN44" s="294" t="e">
        <f>0.001*BM44/('1a. Spredningsmodell input'!$C$25+'1a. Spredningsmodell input'!$C$26/Mellomregninger!$K44)</f>
        <v>#VALUE!</v>
      </c>
      <c r="BO44" s="294" t="e">
        <f>1000*BN44/$K44+BL44*1000000000/('1a. Spredningsmodell input'!$B$45*1000)</f>
        <v>#VALUE!</v>
      </c>
      <c r="BP44" s="294" t="e">
        <f t="shared" si="3"/>
        <v>#VALUE!</v>
      </c>
      <c r="BQ44" s="294" t="e">
        <f>BL44*1000000000/('1a. Spredningsmodell input'!$B$45*1000)</f>
        <v>#VALUE!</v>
      </c>
      <c r="BR44" s="295">
        <f t="shared" si="27"/>
        <v>100</v>
      </c>
      <c r="BS44" s="290" t="e">
        <f>($D44-Stoff!$P44*$D44)*EXP(-($F44+Stoff!$L44*365)*BR44)</f>
        <v>#VALUE!</v>
      </c>
      <c r="BT44" s="291" t="e">
        <f>(Stoff!$P44*$D44)*EXP(-'1a. Spredningsmodell input'!$B$43*BR44)</f>
        <v>#VALUE!</v>
      </c>
      <c r="BU44" s="290" t="e">
        <f>($D44-Stoff!$P44*$D44-BS44)*($F44/($F44+Stoff!$L44*365))</f>
        <v>#VALUE!</v>
      </c>
      <c r="BV44" s="290" t="e">
        <f>(Stoff!$P44*$D44)-BT44</f>
        <v>#VALUE!</v>
      </c>
      <c r="BW44" s="290" t="e">
        <f>($O44+BU44)*EXP(-($N44+Stoff!$M44*365)*BR44)</f>
        <v>#VALUE!</v>
      </c>
      <c r="BX44" s="290" t="e">
        <f>(Stoff!$P44*$O44+BV44)*EXP(-('1a. Spredningsmodell input'!$B$46)*BR44)</f>
        <v>#VALUE!</v>
      </c>
      <c r="BY44" s="292" t="e">
        <f>((BW44+BX44)*1000000000)/('1a. Spredningsmodell input'!$B$45*1000)</f>
        <v>#VALUE!</v>
      </c>
      <c r="BZ44" s="294" t="e">
        <f>0.001*BY44/('1a. Spredningsmodell input'!$C$25+'1a. Spredningsmodell input'!$C$26/Mellomregninger!$K44)</f>
        <v>#VALUE!</v>
      </c>
      <c r="CA44" s="294" t="e">
        <f>1000*BZ44/$K44+BX44*1000000000/('1a. Spredningsmodell input'!$B$45*1000)</f>
        <v>#VALUE!</v>
      </c>
      <c r="CB44" s="294" t="e">
        <f t="shared" si="4"/>
        <v>#VALUE!</v>
      </c>
      <c r="CC44" s="294" t="e">
        <f>BX44*1000000000/('1a. Spredningsmodell input'!$B$45*1000)</f>
        <v>#VALUE!</v>
      </c>
      <c r="CD44" s="294" t="e">
        <f>V44+'1a. Spredningsmodell input'!$C$35</f>
        <v>#VALUE!</v>
      </c>
      <c r="CE44" s="294" t="e">
        <f>($S44+$Q44*($O44+$I44*($D44*(1-Stoff!$P44))*(1-EXP(-($F44+Stoff!$L44*365)*CD44)))*(1-EXP(-($N44+Stoff!$M44*365)*CD44)))</f>
        <v>#VALUE!</v>
      </c>
      <c r="CF44" s="294" t="e">
        <f t="shared" si="5"/>
        <v>#VALUE!</v>
      </c>
      <c r="CG44" s="296" t="e">
        <f>(CF44/1000000)*'1a. Spredningsmodell input'!$B$49*'1a. Spredningsmodell input'!$C$35</f>
        <v>#VALUE!</v>
      </c>
      <c r="CH44" s="294" t="e">
        <f t="shared" si="17"/>
        <v>#VALUE!</v>
      </c>
      <c r="CI44" s="290" t="e">
        <f>(CH44/1000000)*'1a. Spredningsmodell input'!$B$49*'1a. Spredningsmodell input'!$C$35</f>
        <v>#VALUE!</v>
      </c>
      <c r="CJ44" s="297" t="e">
        <f>($S44)*EXP(-(Stoff!$N44*365+$U44)*CD44)+CG44</f>
        <v>#VALUE!</v>
      </c>
      <c r="CK44" s="297" t="e">
        <f>(Stoff!$P44*$S44+CI44)*EXP(-$T44*CD44)</f>
        <v>#VALUE!</v>
      </c>
      <c r="CL44" s="297" t="e">
        <f>(CJ44+CK44)*1000000000/('1a. Spredningsmodell input'!$C$36*1000)</f>
        <v>#VALUE!</v>
      </c>
      <c r="CM44" s="297" t="e">
        <f>$G44*(1-EXP(-'1a. Spredningsmodell input'!$B$43*Mellomregninger!CD44))*(1-EXP(-'1a. Spredningsmodell input'!$B$46*Mellomregninger!CD44))</f>
        <v>#VALUE!</v>
      </c>
      <c r="CN44" s="297"/>
      <c r="CO44" s="297"/>
      <c r="CP44" s="290">
        <f>IF(ISNUMBER(AH44),AH44+'1a. Spredningsmodell input'!$C$35,'1a. Spredningsmodell input'!$C$35)</f>
        <v>1</v>
      </c>
      <c r="CQ44" s="294" t="e">
        <f>($S44+$Q44*($O44+$I44*($D44*(1-Stoff!$P44))*(1-EXP(-($F44+Stoff!$L44*365)*CP44)))*(1-EXP(-($N44+Stoff!$M44*365)*CP44)))</f>
        <v>#VALUE!</v>
      </c>
      <c r="CR44" s="294" t="e">
        <f t="shared" si="6"/>
        <v>#VALUE!</v>
      </c>
      <c r="CS44" s="296" t="e">
        <f>(CR44/1000000)*('1a. Spredningsmodell input'!$B$49*'1a. Spredningsmodell input'!$C$35)</f>
        <v>#VALUE!</v>
      </c>
      <c r="CT44" s="294" t="e">
        <f t="shared" si="7"/>
        <v>#VALUE!</v>
      </c>
      <c r="CU44" s="290" t="e">
        <f>(CT44/1000000)*('1a. Spredningsmodell input'!$B$49)*'1a. Spredningsmodell input'!$C$35</f>
        <v>#VALUE!</v>
      </c>
      <c r="CV44" s="297" t="e">
        <f>($S44)*EXP(-(Stoff!$N44*365+$U44)*CP44)+CS44</f>
        <v>#VALUE!</v>
      </c>
      <c r="CW44" s="297" t="e">
        <f>(Stoff!$P44*$S44+CU44)*EXP(-$T44*CP44)</f>
        <v>#VALUE!</v>
      </c>
      <c r="CX44" s="297">
        <f>IF(ISERROR(CV44),0,(CV44+CW44)*1000000000/('1a. Spredningsmodell input'!$C$36*1000))</f>
        <v>0</v>
      </c>
      <c r="CY44" s="297" t="e">
        <f>$G44*(1-EXP(-'1a. Spredningsmodell input'!$B$43*Mellomregninger!CP44))*(1-EXP(-'1a. Spredningsmodell input'!$B$46*Mellomregninger!CP44))</f>
        <v>#VALUE!</v>
      </c>
      <c r="CZ44" s="297"/>
      <c r="DA44" s="297"/>
      <c r="DB44" s="262">
        <f t="shared" si="28"/>
        <v>5</v>
      </c>
      <c r="DC44" s="298" t="e">
        <f>($S44+$Q44*($O44+$I44*($D44*(1-Stoff!$P44))*(1-EXP(-($F44+Stoff!$L44*365)*DB44)))*(1-EXP(-($N44+Stoff!$M44*365)*DB44)))</f>
        <v>#VALUE!</v>
      </c>
      <c r="DD44" s="294" t="e">
        <f t="shared" si="8"/>
        <v>#VALUE!</v>
      </c>
      <c r="DE44" s="296" t="e">
        <f>(DD44/1000000)*('1a. Spredningsmodell input'!$B$49)*'1a. Spredningsmodell input'!$C$35</f>
        <v>#VALUE!</v>
      </c>
      <c r="DF44" s="294" t="e">
        <f t="shared" si="19"/>
        <v>#VALUE!</v>
      </c>
      <c r="DG44" s="290" t="e">
        <f>(DF44/1000000)*('1a. Spredningsmodell input'!$B$49)*'1a. Spredningsmodell input'!$C$35</f>
        <v>#VALUE!</v>
      </c>
      <c r="DH44" s="297" t="e">
        <f>($S44)*EXP(-(Stoff!$N44*365+$U44)*DB44)+DE44</f>
        <v>#VALUE!</v>
      </c>
      <c r="DI44" s="297" t="e">
        <f>(Stoff!$P44*$S44+DG44)*EXP(-$T44*DB44)</f>
        <v>#VALUE!</v>
      </c>
      <c r="DJ44" s="297" t="e">
        <f>(DH44+DI44)*1000000000/('1a. Spredningsmodell input'!$C$36*1000)</f>
        <v>#VALUE!</v>
      </c>
      <c r="DK44" s="297" t="e">
        <f>$G44*(1-EXP(-'1a. Spredningsmodell input'!$B$43*Mellomregninger!DB44))*(1-EXP(-'1a. Spredningsmodell input'!$B$46*Mellomregninger!DB44))</f>
        <v>#VALUE!</v>
      </c>
      <c r="DL44" s="297"/>
      <c r="DM44" s="297"/>
      <c r="DN44" s="262">
        <f t="shared" si="29"/>
        <v>20</v>
      </c>
      <c r="DO44" s="298" t="e">
        <f>($S44+$Q44*($O44+$I44*($D44*(1-Stoff!$P44))*(1-EXP(-($F44+Stoff!$L44*365)*DN44)))*(1-EXP(-($N44+Stoff!$M44*365)*DN44)))</f>
        <v>#VALUE!</v>
      </c>
      <c r="DP44" s="294" t="e">
        <f t="shared" si="21"/>
        <v>#VALUE!</v>
      </c>
      <c r="DQ44" s="296" t="e">
        <f>(DP44/1000000)*('1a. Spredningsmodell input'!$B$49)*'1a. Spredningsmodell input'!$C$35</f>
        <v>#VALUE!</v>
      </c>
      <c r="DR44" s="294" t="e">
        <f t="shared" si="9"/>
        <v>#VALUE!</v>
      </c>
      <c r="DS44" s="290" t="e">
        <f>(DR44/1000000)*('1a. Spredningsmodell input'!$B$49)*'1a. Spredningsmodell input'!$C$35</f>
        <v>#VALUE!</v>
      </c>
      <c r="DT44" s="297" t="e">
        <f>($S44)*EXP(-(Stoff!$N44*365+$U44)*DN44)+DQ44</f>
        <v>#VALUE!</v>
      </c>
      <c r="DU44" s="297" t="e">
        <f>(Stoff!$P44*$S44+DS44)*EXP(-$T44*DN44)</f>
        <v>#VALUE!</v>
      </c>
      <c r="DV44" s="297" t="e">
        <f>(DT44+DU44)*1000000000/('1a. Spredningsmodell input'!$C$36*1000)</f>
        <v>#VALUE!</v>
      </c>
      <c r="DW44" s="297" t="e">
        <f>$G44*(1-EXP(-'1a. Spredningsmodell input'!$B$43*Mellomregninger!DN44))*(1-EXP(-'1a. Spredningsmodell input'!$B$46*Mellomregninger!DN44))</f>
        <v>#VALUE!</v>
      </c>
      <c r="DX44" s="297"/>
      <c r="DY44" s="297"/>
      <c r="DZ44" s="262">
        <f t="shared" si="30"/>
        <v>100</v>
      </c>
      <c r="EA44" s="298" t="e">
        <f>($S44+$Q44*($O44+$I44*($D44*(1-Stoff!$P44))*(1-EXP(-($F44+Stoff!$L44*365)*DZ44)))*(1-EXP(-($N44+Stoff!$M44*365)*DZ44)))</f>
        <v>#VALUE!</v>
      </c>
      <c r="EB44" s="294" t="e">
        <f t="shared" si="10"/>
        <v>#VALUE!</v>
      </c>
      <c r="EC44" s="296" t="e">
        <f>(EB44/1000000)*('1a. Spredningsmodell input'!$B$49)*'1a. Spredningsmodell input'!$C$35</f>
        <v>#VALUE!</v>
      </c>
      <c r="ED44" s="294" t="e">
        <f t="shared" si="11"/>
        <v>#VALUE!</v>
      </c>
      <c r="EE44" s="290" t="e">
        <f>(ED44/1000000)*('1a. Spredningsmodell input'!$B$49)*'1a. Spredningsmodell input'!$C$35</f>
        <v>#VALUE!</v>
      </c>
      <c r="EF44" s="297" t="e">
        <f>($S44)*EXP(-(Stoff!$N44*365+$U44)*DZ44)+EC44</f>
        <v>#VALUE!</v>
      </c>
      <c r="EG44" s="297" t="e">
        <f>(Stoff!$P44*$S44+EE44)*EXP(-$T44*DZ44)</f>
        <v>#VALUE!</v>
      </c>
      <c r="EH44" s="297" t="e">
        <f>(EF44+EG44)*1000000000/('1a. Spredningsmodell input'!$C$36*1000)</f>
        <v>#VALUE!</v>
      </c>
      <c r="EI44" s="297" t="e">
        <f>$G44*(1-EXP(-'1a. Spredningsmodell input'!$B$43*Mellomregninger!DZ44))*(1-EXP(-'1a. Spredningsmodell input'!$B$46*Mellomregninger!DZ44))</f>
        <v>#VALUE!</v>
      </c>
      <c r="EJ44" s="297"/>
      <c r="EK44" s="297"/>
      <c r="EL44" s="262">
        <f t="shared" si="31"/>
        <v>1.0000000000000001E+25</v>
      </c>
      <c r="EM44" s="294" t="e">
        <f>($S44+$Q44*($O44+$I44*($D44*(1-Stoff!$P44))*(1-EXP(-($F44+Stoff!$L44*365)*EL44)))*(1-EXP(-($N44+Stoff!$M44*365)*EL44)))</f>
        <v>#VALUE!</v>
      </c>
      <c r="EN44" s="296" t="e">
        <f>($S44+$Q44*($O44+$I44*($D44*(1-Stoff!$P44))*(1-EXP(-($F44+Stoff!$L44*365)*(EL44-'1a. Spredningsmodell input'!$C$35))))*(1-EXP(-($N44+Stoff!$M44*365)*(EL44-'1a. Spredningsmodell input'!$C$35))))</f>
        <v>#VALUE!</v>
      </c>
      <c r="EO44" s="294" t="e">
        <f>IF(EL44&lt;'1a. Spredningsmodell input'!$C$35,EM44-($S44)*EXP(-(Stoff!$N44*365+$U44)*EL44),EM44-EN44)</f>
        <v>#VALUE!</v>
      </c>
      <c r="EP44" s="290" t="e">
        <f>((($D44*(Stoff!$P44))*(1-EXP(-'1a. Spredningsmodell input'!$B$43*EL44)))*(1-EXP(-'1a. Spredningsmodell input'!$B$46*EL44)))</f>
        <v>#VALUE!</v>
      </c>
      <c r="EQ44" s="294" t="e">
        <f>((($D44*(Stoff!$P44))*(1-EXP(-'1a. Spredningsmodell input'!$B$43*(EL44-'1a. Spredningsmodell input'!$C$35))))*(1-EXP(-'1a. Spredningsmodell input'!$B$46*(EL44-'1a. Spredningsmodell input'!$C$35))))</f>
        <v>#VALUE!</v>
      </c>
      <c r="ER44" s="290" t="e">
        <f>IF(EL44&lt;'1a. Spredningsmodell input'!$C$35,0,EP44-EQ44)</f>
        <v>#VALUE!</v>
      </c>
      <c r="ES44" s="297" t="e">
        <f>($S44)*EXP(-(Stoff!$N44*365+$U44)*EL44)+EO44</f>
        <v>#VALUE!</v>
      </c>
      <c r="ET44" s="297" t="e">
        <f>(Stoff!$P44*$S44+ER44)*EXP(-$T44*EL44)</f>
        <v>#VALUE!</v>
      </c>
      <c r="EU44" s="297" t="e">
        <f>(ES44+ET44)*1000000000/('1a. Spredningsmodell input'!$C$36*1000)</f>
        <v>#VALUE!</v>
      </c>
      <c r="EV44" s="262" t="e">
        <f t="shared" si="32"/>
        <v>#VALUE!</v>
      </c>
      <c r="EW44" s="299" t="e">
        <f t="shared" si="33"/>
        <v>#VALUE!</v>
      </c>
      <c r="EX44" s="262" t="e">
        <f t="shared" si="34"/>
        <v>#VALUE!</v>
      </c>
    </row>
    <row r="45" spans="1:154" x14ac:dyDescent="0.35">
      <c r="A45" s="50" t="s">
        <v>165</v>
      </c>
      <c r="B45" s="34" t="str">
        <f>IF(ISNUMBER('1c. Kons. porevann'!E45),1000*'1c. Kons. porevann'!E45,IF(ISNUMBER('1b. Kons. umettet jord'!E45),1000*'1b. Kons. umettet jord'!E45/C45,""))</f>
        <v/>
      </c>
      <c r="C45" s="244">
        <f>IF(Stoff!B45="uorganisk",Stoff!C45,Stoff!D45*'1a. Spredningsmodell input'!$C$11)</f>
        <v>102.33</v>
      </c>
      <c r="D45" s="34" t="str">
        <f>IF(ISNUMBER(B45),0.000001*('1b. Kons. umettet jord'!G45*'1a. Spredningsmodell input'!$C$12+B45*0.001*'1a. Spredningsmodell input'!$C$14)*1000*'1a. Spredningsmodell input'!$B$41*'1a. Spredningsmodell input'!$C$18,"")</f>
        <v/>
      </c>
      <c r="E45" s="283">
        <f>C45*'1a. Spredningsmodell input'!$C$12/'1a. Spredningsmodell input'!$C$14+1</f>
        <v>870.80499999999984</v>
      </c>
      <c r="F45" s="284">
        <f>'1a. Spredningsmodell input'!$B$43/E45</f>
        <v>1.722544082773985E-3</v>
      </c>
      <c r="G45" s="34" t="e">
        <f>Stoff!P45*Mellomregninger!D45</f>
        <v>#VALUE!</v>
      </c>
      <c r="H45" s="283" t="e">
        <f>(D45-G45)*(F45/(F45+Stoff!L45))</f>
        <v>#VALUE!</v>
      </c>
      <c r="I45" s="283">
        <f>F45/(F45+Stoff!L45)</f>
        <v>1</v>
      </c>
      <c r="J45" s="285" t="str">
        <f>IF(B45="","",IF(ISNUMBER('1d. Kons. mettet sone'!E45),'1d. Kons. mettet sone'!E45,IF(ISNUMBER('1e. Kons. grunnvann'!E45),'1e. Kons. grunnvann'!E45*Mellomregninger!K45,0)))</f>
        <v/>
      </c>
      <c r="K45" s="286">
        <f>IF(Stoff!B45="uorganisk",Stoff!C45,Stoff!D45*'1a. Spredningsmodell input'!$C$24)</f>
        <v>10.233000000000001</v>
      </c>
      <c r="L45" s="27" t="e">
        <f>IF(ISNUMBER('1e. Kons. grunnvann'!E45),1000*'1e. Kons. grunnvann'!E45,1000*J45/K45)</f>
        <v>#VALUE!</v>
      </c>
      <c r="M45" s="34">
        <f>K45*'1a. Spredningsmodell input'!$C$25/'1a. Spredningsmodell input'!$C$26+1</f>
        <v>44.490249999999996</v>
      </c>
      <c r="N45" s="284">
        <f>'1a. Spredningsmodell input'!$C$26/M45</f>
        <v>8.9907339248487036E-3</v>
      </c>
      <c r="O45" s="287" t="e">
        <f>0.000000001*(J45*'1a. Spredningsmodell input'!$C$25+L45)*1000*'1a. Spredningsmodell input'!$B$45</f>
        <v>#VALUE!</v>
      </c>
      <c r="P45" s="287" t="e">
        <f>O45*Stoff!P45</f>
        <v>#VALUE!</v>
      </c>
      <c r="Q45" s="287">
        <f>N45/(N45+Stoff!M45)</f>
        <v>1</v>
      </c>
      <c r="R45" s="288">
        <f>IF(ISNUMBER('1f. Kons. resipient'!E45),'1f. Kons. resipient'!E45,0)</f>
        <v>0</v>
      </c>
      <c r="S45" s="288">
        <f>0.000000001*'1a. Spredningsmodell input'!$C$36*R45*1000</f>
        <v>0</v>
      </c>
      <c r="T45" s="288">
        <f>1/'1a. Spredningsmodell input'!$C$35</f>
        <v>1</v>
      </c>
      <c r="U45" s="288">
        <f>1/'1a. Spredningsmodell input'!$C$35</f>
        <v>1</v>
      </c>
      <c r="V45" s="300" t="e">
        <f>(1/($N45+Stoff!$L45))*(LN(($D45*$I45/($D45*$I45+$J45))*($F45+Stoff!$L45+$N45+Stoff!$M45)/($N45+Stoff!$M45)))</f>
        <v>#VALUE!</v>
      </c>
      <c r="W45" s="290" t="e">
        <f>($D45-Stoff!$P45*$D45)*EXP(-($F45+Stoff!$L45*365)*V45)</f>
        <v>#VALUE!</v>
      </c>
      <c r="X45" s="291" t="e">
        <f>(Stoff!$P45*$D45)*EXP(-'1a. Spredningsmodell input'!$B$43*V45)</f>
        <v>#VALUE!</v>
      </c>
      <c r="Y45" s="290" t="e">
        <f>($D45-Stoff!$P45*$D45-W45)*($F45/($F45+Stoff!$L45*365))</f>
        <v>#VALUE!</v>
      </c>
      <c r="Z45" s="290" t="e">
        <f>(Stoff!$P45*$D45)-X45</f>
        <v>#VALUE!</v>
      </c>
      <c r="AA45" s="290" t="e">
        <f>($O45+Y45)*EXP(-($N45+Stoff!$M45*365)*V45)</f>
        <v>#VALUE!</v>
      </c>
      <c r="AB45" s="290" t="e">
        <f>(Stoff!$P45*$O45+Z45)*EXP(-('1a. Spredningsmodell input'!$B$46)*V45)</f>
        <v>#VALUE!</v>
      </c>
      <c r="AC45" s="292" t="e">
        <f>((AA45+AB45)*1000000000)/('1a. Spredningsmodell input'!$B$45*1000)</f>
        <v>#VALUE!</v>
      </c>
      <c r="AD45" s="294" t="e">
        <f>0.001*AC45/('1a. Spredningsmodell input'!$C$25+'1a. Spredningsmodell input'!$C$26/Mellomregninger!$K45)</f>
        <v>#VALUE!</v>
      </c>
      <c r="AE45" s="294" t="e">
        <f>1000*AD45/$K45+AB45*1000000000/('1a. Spredningsmodell input'!$B$45*1000)</f>
        <v>#VALUE!</v>
      </c>
      <c r="AF45" s="294" t="e">
        <f t="shared" si="0"/>
        <v>#VALUE!</v>
      </c>
      <c r="AG45" s="294" t="e">
        <f>AB45*1000000000/('1a. Spredningsmodell input'!$B$45*1000)</f>
        <v>#VALUE!</v>
      </c>
      <c r="AH45" s="300" t="e">
        <f>(1/('1a. Spredningsmodell input'!$B$46))*(LN(($D45*Stoff!$P45/($D45*Stoff!$P45+$P45*Stoff!$P45))*('1a. Spredningsmodell input'!$B$43+'1a. Spredningsmodell input'!$B$46)/('1a. Spredningsmodell input'!$B$46)))</f>
        <v>#VALUE!</v>
      </c>
      <c r="AI45" s="290" t="e">
        <f>($D45-Stoff!$P45*$D45)*EXP(-($F45+Stoff!$L45*365)*AH45)</f>
        <v>#VALUE!</v>
      </c>
      <c r="AJ45" s="291" t="e">
        <f>(Stoff!$P45*$D45)*EXP(-'1a. Spredningsmodell input'!$B$43*AH45)</f>
        <v>#VALUE!</v>
      </c>
      <c r="AK45" s="290" t="e">
        <f>($D45-Stoff!$P45*$D45-AI45)*($F45/($F45+Stoff!$L45*365))</f>
        <v>#VALUE!</v>
      </c>
      <c r="AL45" s="290" t="e">
        <f>(Stoff!$P45*$D45)-AJ45</f>
        <v>#VALUE!</v>
      </c>
      <c r="AM45" s="290" t="e">
        <f>($O45+AK45)*EXP(-($N45+Stoff!$M45*365)*AH45)</f>
        <v>#VALUE!</v>
      </c>
      <c r="AN45" s="290" t="e">
        <f>(Stoff!$P45*$O45+AL45)*EXP(-('1a. Spredningsmodell input'!$B$46)*AH45)</f>
        <v>#VALUE!</v>
      </c>
      <c r="AO45" s="292" t="e">
        <f>((AM45+AN45)*1000000000)/('1a. Spredningsmodell input'!$B$45*1000)</f>
        <v>#VALUE!</v>
      </c>
      <c r="AP45" s="294" t="e">
        <f>0.001*AO45/('1a. Spredningsmodell input'!$C$25+'1a. Spredningsmodell input'!$C$26/Mellomregninger!$K45)</f>
        <v>#VALUE!</v>
      </c>
      <c r="AQ45" s="294" t="e">
        <f>1000*AP45/$K45+AN45*1000000000/('1a. Spredningsmodell input'!$B$45*1000)</f>
        <v>#VALUE!</v>
      </c>
      <c r="AR45" s="294" t="e">
        <f t="shared" si="1"/>
        <v>#VALUE!</v>
      </c>
      <c r="AS45" s="294" t="e">
        <f>AN45*1000000000/('1a. Spredningsmodell input'!$B$45*1000)</f>
        <v>#VALUE!</v>
      </c>
      <c r="AT45" s="295">
        <f t="shared" si="25"/>
        <v>5</v>
      </c>
      <c r="AU45" s="290" t="e">
        <f>($D45-Stoff!$P45*$D45)*EXP(-($F45+Stoff!$L45*365)*AT45)</f>
        <v>#VALUE!</v>
      </c>
      <c r="AV45" s="291" t="e">
        <f>(Stoff!$P45*$D45)*EXP(-'1a. Spredningsmodell input'!$B$43*AT45)</f>
        <v>#VALUE!</v>
      </c>
      <c r="AW45" s="290" t="e">
        <f>($D45-Stoff!$P45*$D45-AU45)*($F45/($F45+Stoff!$L45*365))</f>
        <v>#VALUE!</v>
      </c>
      <c r="AX45" s="290" t="e">
        <f>(Stoff!$P45*$D45)-AV45</f>
        <v>#VALUE!</v>
      </c>
      <c r="AY45" s="290" t="e">
        <f>($O45+AW45)*EXP(-($N45+Stoff!$M45*365)*AT45)</f>
        <v>#VALUE!</v>
      </c>
      <c r="AZ45" s="290" t="e">
        <f>(Stoff!$P45*$O45+AX45)*EXP(-('1a. Spredningsmodell input'!$B$46)*AT45)</f>
        <v>#VALUE!</v>
      </c>
      <c r="BA45" s="292" t="e">
        <f>((AY45+AZ45)*1000000000)/('1a. Spredningsmodell input'!$B$45*1000)</f>
        <v>#VALUE!</v>
      </c>
      <c r="BB45" s="294" t="e">
        <f>0.001*BA45/('1a. Spredningsmodell input'!$C$25+'1a. Spredningsmodell input'!$C$26/Mellomregninger!$K45)</f>
        <v>#VALUE!</v>
      </c>
      <c r="BC45" s="294" t="e">
        <f>1000*BB45/$K45+AZ45*1000000000/('1a. Spredningsmodell input'!$B$45*1000)</f>
        <v>#VALUE!</v>
      </c>
      <c r="BD45" s="294" t="e">
        <f t="shared" si="2"/>
        <v>#VALUE!</v>
      </c>
      <c r="BE45" s="294" t="e">
        <f>AZ45*1000000000/('1a. Spredningsmodell input'!$B$45*1000)</f>
        <v>#VALUE!</v>
      </c>
      <c r="BF45" s="295">
        <f t="shared" si="26"/>
        <v>20</v>
      </c>
      <c r="BG45" s="290" t="e">
        <f>($D45-Stoff!$P45*$D45)*EXP(-($F45+Stoff!$L45*365)*BF45)</f>
        <v>#VALUE!</v>
      </c>
      <c r="BH45" s="291" t="e">
        <f>(Stoff!$P45*$D45)*EXP(-'1a. Spredningsmodell input'!$B$43*BF45)</f>
        <v>#VALUE!</v>
      </c>
      <c r="BI45" s="290" t="e">
        <f>($D45-Stoff!$P45*$D45-BG45)*($F45/($F45+Stoff!$L45*365))</f>
        <v>#VALUE!</v>
      </c>
      <c r="BJ45" s="290" t="e">
        <f>(Stoff!$P45*$D45)-BH45</f>
        <v>#VALUE!</v>
      </c>
      <c r="BK45" s="290" t="e">
        <f>($O45+BI45)*EXP(-($N45+Stoff!$M45*365)*BF45)</f>
        <v>#VALUE!</v>
      </c>
      <c r="BL45" s="290" t="e">
        <f>(Stoff!$P45*$O45+BJ45)*EXP(-('1a. Spredningsmodell input'!$B$46)*BF45)</f>
        <v>#VALUE!</v>
      </c>
      <c r="BM45" s="292" t="e">
        <f>((BK45+BL45)*1000000000)/('1a. Spredningsmodell input'!$B$45*1000)</f>
        <v>#VALUE!</v>
      </c>
      <c r="BN45" s="294" t="e">
        <f>0.001*BM45/('1a. Spredningsmodell input'!$C$25+'1a. Spredningsmodell input'!$C$26/Mellomregninger!$K45)</f>
        <v>#VALUE!</v>
      </c>
      <c r="BO45" s="294" t="e">
        <f>1000*BN45/$K45+BL45*1000000000/('1a. Spredningsmodell input'!$B$45*1000)</f>
        <v>#VALUE!</v>
      </c>
      <c r="BP45" s="294" t="e">
        <f t="shared" si="3"/>
        <v>#VALUE!</v>
      </c>
      <c r="BQ45" s="294" t="e">
        <f>BL45*1000000000/('1a. Spredningsmodell input'!$B$45*1000)</f>
        <v>#VALUE!</v>
      </c>
      <c r="BR45" s="295">
        <f t="shared" si="27"/>
        <v>100</v>
      </c>
      <c r="BS45" s="290" t="e">
        <f>($D45-Stoff!$P45*$D45)*EXP(-($F45+Stoff!$L45*365)*BR45)</f>
        <v>#VALUE!</v>
      </c>
      <c r="BT45" s="291" t="e">
        <f>(Stoff!$P45*$D45)*EXP(-'1a. Spredningsmodell input'!$B$43*BR45)</f>
        <v>#VALUE!</v>
      </c>
      <c r="BU45" s="290" t="e">
        <f>($D45-Stoff!$P45*$D45-BS45)*($F45/($F45+Stoff!$L45*365))</f>
        <v>#VALUE!</v>
      </c>
      <c r="BV45" s="290" t="e">
        <f>(Stoff!$P45*$D45)-BT45</f>
        <v>#VALUE!</v>
      </c>
      <c r="BW45" s="290" t="e">
        <f>($O45+BU45)*EXP(-($N45+Stoff!$M45*365)*BR45)</f>
        <v>#VALUE!</v>
      </c>
      <c r="BX45" s="290" t="e">
        <f>(Stoff!$P45*$O45+BV45)*EXP(-('1a. Spredningsmodell input'!$B$46)*BR45)</f>
        <v>#VALUE!</v>
      </c>
      <c r="BY45" s="292" t="e">
        <f>((BW45+BX45)*1000000000)/('1a. Spredningsmodell input'!$B$45*1000)</f>
        <v>#VALUE!</v>
      </c>
      <c r="BZ45" s="294" t="e">
        <f>0.001*BY45/('1a. Spredningsmodell input'!$C$25+'1a. Spredningsmodell input'!$C$26/Mellomregninger!$K45)</f>
        <v>#VALUE!</v>
      </c>
      <c r="CA45" s="294" t="e">
        <f>1000*BZ45/$K45+BX45*1000000000/('1a. Spredningsmodell input'!$B$45*1000)</f>
        <v>#VALUE!</v>
      </c>
      <c r="CB45" s="294" t="e">
        <f t="shared" si="4"/>
        <v>#VALUE!</v>
      </c>
      <c r="CC45" s="294" t="e">
        <f>BX45*1000000000/('1a. Spredningsmodell input'!$B$45*1000)</f>
        <v>#VALUE!</v>
      </c>
      <c r="CD45" s="294" t="e">
        <f>V45+'1a. Spredningsmodell input'!$C$35</f>
        <v>#VALUE!</v>
      </c>
      <c r="CE45" s="294" t="e">
        <f>($S45+$Q45*($O45+$I45*($D45*(1-Stoff!$P45))*(1-EXP(-($F45+Stoff!$L45*365)*CD45)))*(1-EXP(-($N45+Stoff!$M45*365)*CD45)))</f>
        <v>#VALUE!</v>
      </c>
      <c r="CF45" s="294" t="e">
        <f t="shared" si="5"/>
        <v>#VALUE!</v>
      </c>
      <c r="CG45" s="296" t="e">
        <f>(CF45/1000000)*'1a. Spredningsmodell input'!$B$49*'1a. Spredningsmodell input'!$C$35</f>
        <v>#VALUE!</v>
      </c>
      <c r="CH45" s="294" t="e">
        <f t="shared" si="17"/>
        <v>#VALUE!</v>
      </c>
      <c r="CI45" s="290" t="e">
        <f>(CH45/1000000)*'1a. Spredningsmodell input'!$B$49*'1a. Spredningsmodell input'!$C$35</f>
        <v>#VALUE!</v>
      </c>
      <c r="CJ45" s="297" t="e">
        <f>($S45)*EXP(-(Stoff!$N45*365+$U45)*CD45)+CG45</f>
        <v>#VALUE!</v>
      </c>
      <c r="CK45" s="297" t="e">
        <f>(Stoff!$P45*$S45+CI45)*EXP(-$T45*CD45)</f>
        <v>#VALUE!</v>
      </c>
      <c r="CL45" s="297" t="e">
        <f>(CJ45+CK45)*1000000000/('1a. Spredningsmodell input'!$C$36*1000)</f>
        <v>#VALUE!</v>
      </c>
      <c r="CM45" s="297" t="e">
        <f>$G45*(1-EXP(-'1a. Spredningsmodell input'!$B$43*Mellomregninger!CD45))*(1-EXP(-'1a. Spredningsmodell input'!$B$46*Mellomregninger!CD45))</f>
        <v>#VALUE!</v>
      </c>
      <c r="CN45" s="297"/>
      <c r="CO45" s="297"/>
      <c r="CP45" s="290">
        <f>IF(ISNUMBER(AH45),AH45+'1a. Spredningsmodell input'!$C$35,'1a. Spredningsmodell input'!$C$35)</f>
        <v>1</v>
      </c>
      <c r="CQ45" s="294" t="e">
        <f>($S45+$Q45*($O45+$I45*($D45*(1-Stoff!$P45))*(1-EXP(-($F45+Stoff!$L45*365)*CP45)))*(1-EXP(-($N45+Stoff!$M45*365)*CP45)))</f>
        <v>#VALUE!</v>
      </c>
      <c r="CR45" s="294" t="e">
        <f t="shared" si="6"/>
        <v>#VALUE!</v>
      </c>
      <c r="CS45" s="296" t="e">
        <f>(CR45/1000000)*('1a. Spredningsmodell input'!$B$49*'1a. Spredningsmodell input'!$C$35)</f>
        <v>#VALUE!</v>
      </c>
      <c r="CT45" s="294" t="e">
        <f t="shared" si="7"/>
        <v>#VALUE!</v>
      </c>
      <c r="CU45" s="290" t="e">
        <f>(CT45/1000000)*('1a. Spredningsmodell input'!$B$49)*'1a. Spredningsmodell input'!$C$35</f>
        <v>#VALUE!</v>
      </c>
      <c r="CV45" s="297" t="e">
        <f>($S45)*EXP(-(Stoff!$N45*365+$U45)*CP45)+CS45</f>
        <v>#VALUE!</v>
      </c>
      <c r="CW45" s="297" t="e">
        <f>(Stoff!$P45*$S45+CU45)*EXP(-$T45*CP45)</f>
        <v>#VALUE!</v>
      </c>
      <c r="CX45" s="297">
        <f>IF(ISERROR(CV45),0,(CV45+CW45)*1000000000/('1a. Spredningsmodell input'!$C$36*1000))</f>
        <v>0</v>
      </c>
      <c r="CY45" s="297" t="e">
        <f>$G45*(1-EXP(-'1a. Spredningsmodell input'!$B$43*Mellomregninger!CP45))*(1-EXP(-'1a. Spredningsmodell input'!$B$46*Mellomregninger!CP45))</f>
        <v>#VALUE!</v>
      </c>
      <c r="CZ45" s="297"/>
      <c r="DA45" s="297"/>
      <c r="DB45" s="262">
        <f t="shared" si="28"/>
        <v>5</v>
      </c>
      <c r="DC45" s="298" t="e">
        <f>($S45+$Q45*($O45+$I45*($D45*(1-Stoff!$P45))*(1-EXP(-($F45+Stoff!$L45*365)*DB45)))*(1-EXP(-($N45+Stoff!$M45*365)*DB45)))</f>
        <v>#VALUE!</v>
      </c>
      <c r="DD45" s="294" t="e">
        <f t="shared" si="8"/>
        <v>#VALUE!</v>
      </c>
      <c r="DE45" s="296" t="e">
        <f>(DD45/1000000)*('1a. Spredningsmodell input'!$B$49)*'1a. Spredningsmodell input'!$C$35</f>
        <v>#VALUE!</v>
      </c>
      <c r="DF45" s="294" t="e">
        <f t="shared" si="19"/>
        <v>#VALUE!</v>
      </c>
      <c r="DG45" s="290" t="e">
        <f>(DF45/1000000)*('1a. Spredningsmodell input'!$B$49)*'1a. Spredningsmodell input'!$C$35</f>
        <v>#VALUE!</v>
      </c>
      <c r="DH45" s="297" t="e">
        <f>($S45)*EXP(-(Stoff!$N45*365+$U45)*DB45)+DE45</f>
        <v>#VALUE!</v>
      </c>
      <c r="DI45" s="297" t="e">
        <f>(Stoff!$P45*$S45+DG45)*EXP(-$T45*DB45)</f>
        <v>#VALUE!</v>
      </c>
      <c r="DJ45" s="297" t="e">
        <f>(DH45+DI45)*1000000000/('1a. Spredningsmodell input'!$C$36*1000)</f>
        <v>#VALUE!</v>
      </c>
      <c r="DK45" s="297" t="e">
        <f>$G45*(1-EXP(-'1a. Spredningsmodell input'!$B$43*Mellomregninger!DB45))*(1-EXP(-'1a. Spredningsmodell input'!$B$46*Mellomregninger!DB45))</f>
        <v>#VALUE!</v>
      </c>
      <c r="DL45" s="297"/>
      <c r="DM45" s="297"/>
      <c r="DN45" s="262">
        <f t="shared" si="29"/>
        <v>20</v>
      </c>
      <c r="DO45" s="298" t="e">
        <f>($S45+$Q45*($O45+$I45*($D45*(1-Stoff!$P45))*(1-EXP(-($F45+Stoff!$L45*365)*DN45)))*(1-EXP(-($N45+Stoff!$M45*365)*DN45)))</f>
        <v>#VALUE!</v>
      </c>
      <c r="DP45" s="294" t="e">
        <f t="shared" si="21"/>
        <v>#VALUE!</v>
      </c>
      <c r="DQ45" s="296" t="e">
        <f>(DP45/1000000)*('1a. Spredningsmodell input'!$B$49)*'1a. Spredningsmodell input'!$C$35</f>
        <v>#VALUE!</v>
      </c>
      <c r="DR45" s="294" t="e">
        <f t="shared" si="9"/>
        <v>#VALUE!</v>
      </c>
      <c r="DS45" s="290" t="e">
        <f>(DR45/1000000)*('1a. Spredningsmodell input'!$B$49)*'1a. Spredningsmodell input'!$C$35</f>
        <v>#VALUE!</v>
      </c>
      <c r="DT45" s="297" t="e">
        <f>($S45)*EXP(-(Stoff!$N45*365+$U45)*DN45)+DQ45</f>
        <v>#VALUE!</v>
      </c>
      <c r="DU45" s="297" t="e">
        <f>(Stoff!$P45*$S45+DS45)*EXP(-$T45*DN45)</f>
        <v>#VALUE!</v>
      </c>
      <c r="DV45" s="297" t="e">
        <f>(DT45+DU45)*1000000000/('1a. Spredningsmodell input'!$C$36*1000)</f>
        <v>#VALUE!</v>
      </c>
      <c r="DW45" s="297" t="e">
        <f>$G45*(1-EXP(-'1a. Spredningsmodell input'!$B$43*Mellomregninger!DN45))*(1-EXP(-'1a. Spredningsmodell input'!$B$46*Mellomregninger!DN45))</f>
        <v>#VALUE!</v>
      </c>
      <c r="DX45" s="297"/>
      <c r="DY45" s="297"/>
      <c r="DZ45" s="262">
        <f t="shared" si="30"/>
        <v>100</v>
      </c>
      <c r="EA45" s="298" t="e">
        <f>($S45+$Q45*($O45+$I45*($D45*(1-Stoff!$P45))*(1-EXP(-($F45+Stoff!$L45*365)*DZ45)))*(1-EXP(-($N45+Stoff!$M45*365)*DZ45)))</f>
        <v>#VALUE!</v>
      </c>
      <c r="EB45" s="294" t="e">
        <f t="shared" si="10"/>
        <v>#VALUE!</v>
      </c>
      <c r="EC45" s="296" t="e">
        <f>(EB45/1000000)*('1a. Spredningsmodell input'!$B$49)*'1a. Spredningsmodell input'!$C$35</f>
        <v>#VALUE!</v>
      </c>
      <c r="ED45" s="294" t="e">
        <f t="shared" si="11"/>
        <v>#VALUE!</v>
      </c>
      <c r="EE45" s="290" t="e">
        <f>(ED45/1000000)*('1a. Spredningsmodell input'!$B$49)*'1a. Spredningsmodell input'!$C$35</f>
        <v>#VALUE!</v>
      </c>
      <c r="EF45" s="297" t="e">
        <f>($S45)*EXP(-(Stoff!$N45*365+$U45)*DZ45)+EC45</f>
        <v>#VALUE!</v>
      </c>
      <c r="EG45" s="297" t="e">
        <f>(Stoff!$P45*$S45+EE45)*EXP(-$T45*DZ45)</f>
        <v>#VALUE!</v>
      </c>
      <c r="EH45" s="297" t="e">
        <f>(EF45+EG45)*1000000000/('1a. Spredningsmodell input'!$C$36*1000)</f>
        <v>#VALUE!</v>
      </c>
      <c r="EI45" s="297" t="e">
        <f>$G45*(1-EXP(-'1a. Spredningsmodell input'!$B$43*Mellomregninger!DZ45))*(1-EXP(-'1a. Spredningsmodell input'!$B$46*Mellomregninger!DZ45))</f>
        <v>#VALUE!</v>
      </c>
      <c r="EJ45" s="297"/>
      <c r="EK45" s="297"/>
      <c r="EL45" s="262">
        <f t="shared" si="31"/>
        <v>1.0000000000000001E+25</v>
      </c>
      <c r="EM45" s="294" t="e">
        <f>($S45+$Q45*($O45+$I45*($D45*(1-Stoff!$P45))*(1-EXP(-($F45+Stoff!$L45*365)*EL45)))*(1-EXP(-($N45+Stoff!$M45*365)*EL45)))</f>
        <v>#VALUE!</v>
      </c>
      <c r="EN45" s="296" t="e">
        <f>($S45+$Q45*($O45+$I45*($D45*(1-Stoff!$P45))*(1-EXP(-($F45+Stoff!$L45*365)*(EL45-'1a. Spredningsmodell input'!$C$35))))*(1-EXP(-($N45+Stoff!$M45*365)*(EL45-'1a. Spredningsmodell input'!$C$35))))</f>
        <v>#VALUE!</v>
      </c>
      <c r="EO45" s="294" t="e">
        <f>IF(EL45&lt;'1a. Spredningsmodell input'!$C$35,EM45-($S45)*EXP(-(Stoff!$N45*365+$U45)*EL45),EM45-EN45)</f>
        <v>#VALUE!</v>
      </c>
      <c r="EP45" s="290" t="e">
        <f>((($D45*(Stoff!$P45))*(1-EXP(-'1a. Spredningsmodell input'!$B$43*EL45)))*(1-EXP(-'1a. Spredningsmodell input'!$B$46*EL45)))</f>
        <v>#VALUE!</v>
      </c>
      <c r="EQ45" s="294" t="e">
        <f>((($D45*(Stoff!$P45))*(1-EXP(-'1a. Spredningsmodell input'!$B$43*(EL45-'1a. Spredningsmodell input'!$C$35))))*(1-EXP(-'1a. Spredningsmodell input'!$B$46*(EL45-'1a. Spredningsmodell input'!$C$35))))</f>
        <v>#VALUE!</v>
      </c>
      <c r="ER45" s="290" t="e">
        <f>IF(EL45&lt;'1a. Spredningsmodell input'!$C$35,0,EP45-EQ45)</f>
        <v>#VALUE!</v>
      </c>
      <c r="ES45" s="297" t="e">
        <f>($S45)*EXP(-(Stoff!$N45*365+$U45)*EL45)+EO45</f>
        <v>#VALUE!</v>
      </c>
      <c r="ET45" s="297" t="e">
        <f>(Stoff!$P45*$S45+ER45)*EXP(-$T45*EL45)</f>
        <v>#VALUE!</v>
      </c>
      <c r="EU45" s="297" t="e">
        <f>(ES45+ET45)*1000000000/('1a. Spredningsmodell input'!$C$36*1000)</f>
        <v>#VALUE!</v>
      </c>
      <c r="EV45" s="262" t="e">
        <f t="shared" si="32"/>
        <v>#VALUE!</v>
      </c>
      <c r="EW45" s="299" t="e">
        <f t="shared" si="33"/>
        <v>#VALUE!</v>
      </c>
      <c r="EX45" s="262" t="e">
        <f t="shared" si="34"/>
        <v>#VALUE!</v>
      </c>
    </row>
    <row r="46" spans="1:154" x14ac:dyDescent="0.35">
      <c r="A46" s="50" t="s">
        <v>164</v>
      </c>
      <c r="B46" s="34" t="str">
        <f>IF(ISNUMBER('1c. Kons. porevann'!E46),1000*'1c. Kons. porevann'!E46,IF(ISNUMBER('1b. Kons. umettet jord'!E46),1000*'1b. Kons. umettet jord'!E46/C46,""))</f>
        <v/>
      </c>
      <c r="C46" s="244">
        <f>IF(Stoff!B46="uorganisk",Stoff!C46,Stoff!D46*'1a. Spredningsmodell input'!$C$11)</f>
        <v>977.24</v>
      </c>
      <c r="D46" s="34" t="str">
        <f>IF(ISNUMBER(B46),0.000001*('1b. Kons. umettet jord'!G46*'1a. Spredningsmodell input'!$C$12+B46*0.001*'1a. Spredningsmodell input'!$C$14)*1000*'1a. Spredningsmodell input'!$B$41*'1a. Spredningsmodell input'!$C$18,"")</f>
        <v/>
      </c>
      <c r="E46" s="283">
        <f>C46*'1a. Spredningsmodell input'!$C$12/'1a. Spredningsmodell input'!$C$14+1</f>
        <v>8307.5399999999991</v>
      </c>
      <c r="F46" s="284">
        <f>'1a. Spredningsmodell input'!$B$43/E46</f>
        <v>1.8055886580142859E-4</v>
      </c>
      <c r="G46" s="34" t="e">
        <f>Stoff!P46*Mellomregninger!D46</f>
        <v>#VALUE!</v>
      </c>
      <c r="H46" s="283" t="e">
        <f>(D46-G46)*(F46/(F46+Stoff!L46))</f>
        <v>#VALUE!</v>
      </c>
      <c r="I46" s="283">
        <f>F46/(F46+Stoff!L46)</f>
        <v>1</v>
      </c>
      <c r="J46" s="285" t="str">
        <f>IF(B46="","",IF(ISNUMBER('1d. Kons. mettet sone'!E46),'1d. Kons. mettet sone'!E46,IF(ISNUMBER('1e. Kons. grunnvann'!E46),'1e. Kons. grunnvann'!E46*Mellomregninger!K46,0)))</f>
        <v/>
      </c>
      <c r="K46" s="286">
        <f>IF(Stoff!B46="uorganisk",Stoff!C46,Stoff!D46*'1a. Spredningsmodell input'!$C$24)</f>
        <v>97.724000000000004</v>
      </c>
      <c r="L46" s="27" t="e">
        <f>IF(ISNUMBER('1e. Kons. grunnvann'!E46),1000*'1e. Kons. grunnvann'!E46,1000*J46/K46)</f>
        <v>#VALUE!</v>
      </c>
      <c r="M46" s="34">
        <f>K46*'1a. Spredningsmodell input'!$C$25/'1a. Spredningsmodell input'!$C$26+1</f>
        <v>416.32699999999994</v>
      </c>
      <c r="N46" s="284">
        <f>'1a. Spredningsmodell input'!$C$26/M46</f>
        <v>9.6078323048949521E-4</v>
      </c>
      <c r="O46" s="287" t="e">
        <f>0.000000001*(J46*'1a. Spredningsmodell input'!$C$25+L46)*1000*'1a. Spredningsmodell input'!$B$45</f>
        <v>#VALUE!</v>
      </c>
      <c r="P46" s="287" t="e">
        <f>O46*Stoff!P46</f>
        <v>#VALUE!</v>
      </c>
      <c r="Q46" s="287">
        <f>N46/(N46+Stoff!M46)</f>
        <v>1</v>
      </c>
      <c r="R46" s="288">
        <f>IF(ISNUMBER('1f. Kons. resipient'!E46),'1f. Kons. resipient'!E46,0)</f>
        <v>0</v>
      </c>
      <c r="S46" s="288">
        <f>0.000000001*'1a. Spredningsmodell input'!$C$36*R46*1000</f>
        <v>0</v>
      </c>
      <c r="T46" s="288">
        <f>1/'1a. Spredningsmodell input'!$C$35</f>
        <v>1</v>
      </c>
      <c r="U46" s="288">
        <f>1/'1a. Spredningsmodell input'!$C$35</f>
        <v>1</v>
      </c>
      <c r="V46" s="300" t="e">
        <f>(1/($N46+Stoff!$L46))*(LN(($D46*$I46/($D46*$I46+$J46))*($F46+Stoff!$L46+$N46+Stoff!$M46)/($N46+Stoff!$M46)))</f>
        <v>#VALUE!</v>
      </c>
      <c r="W46" s="290" t="e">
        <f>($D46-Stoff!$P46*$D46)*EXP(-($F46+Stoff!$L46*365)*V46)</f>
        <v>#VALUE!</v>
      </c>
      <c r="X46" s="291" t="e">
        <f>(Stoff!$P46*$D46)*EXP(-'1a. Spredningsmodell input'!$B$43*V46)</f>
        <v>#VALUE!</v>
      </c>
      <c r="Y46" s="290" t="e">
        <f>($D46-Stoff!$P46*$D46-W46)*($F46/($F46+Stoff!$L46*365))</f>
        <v>#VALUE!</v>
      </c>
      <c r="Z46" s="290" t="e">
        <f>(Stoff!$P46*$D46)-X46</f>
        <v>#VALUE!</v>
      </c>
      <c r="AA46" s="290" t="e">
        <f>($O46+Y46)*EXP(-($N46+Stoff!$M46*365)*V46)</f>
        <v>#VALUE!</v>
      </c>
      <c r="AB46" s="290" t="e">
        <f>(Stoff!$P46*$O46+Z46)*EXP(-('1a. Spredningsmodell input'!$B$46)*V46)</f>
        <v>#VALUE!</v>
      </c>
      <c r="AC46" s="292" t="e">
        <f>((AA46+AB46)*1000000000)/('1a. Spredningsmodell input'!$B$45*1000)</f>
        <v>#VALUE!</v>
      </c>
      <c r="AD46" s="294" t="e">
        <f>0.001*AC46/('1a. Spredningsmodell input'!$C$25+'1a. Spredningsmodell input'!$C$26/Mellomregninger!$K46)</f>
        <v>#VALUE!</v>
      </c>
      <c r="AE46" s="294" t="e">
        <f>1000*AD46/$K46+AB46*1000000000/('1a. Spredningsmodell input'!$B$45*1000)</f>
        <v>#VALUE!</v>
      </c>
      <c r="AF46" s="294" t="e">
        <f t="shared" si="0"/>
        <v>#VALUE!</v>
      </c>
      <c r="AG46" s="294" t="e">
        <f>AB46*1000000000/('1a. Spredningsmodell input'!$B$45*1000)</f>
        <v>#VALUE!</v>
      </c>
      <c r="AH46" s="300" t="e">
        <f>(1/('1a. Spredningsmodell input'!$B$46))*(LN(($D46*Stoff!$P46/($D46*Stoff!$P46+$P46*Stoff!$P46))*('1a. Spredningsmodell input'!$B$43+'1a. Spredningsmodell input'!$B$46)/('1a. Spredningsmodell input'!$B$46)))</f>
        <v>#VALUE!</v>
      </c>
      <c r="AI46" s="290" t="e">
        <f>($D46-Stoff!$P46*$D46)*EXP(-($F46+Stoff!$L46*365)*AH46)</f>
        <v>#VALUE!</v>
      </c>
      <c r="AJ46" s="291" t="e">
        <f>(Stoff!$P46*$D46)*EXP(-'1a. Spredningsmodell input'!$B$43*AH46)</f>
        <v>#VALUE!</v>
      </c>
      <c r="AK46" s="290" t="e">
        <f>($D46-Stoff!$P46*$D46-AI46)*($F46/($F46+Stoff!$L46*365))</f>
        <v>#VALUE!</v>
      </c>
      <c r="AL46" s="290" t="e">
        <f>(Stoff!$P46*$D46)-AJ46</f>
        <v>#VALUE!</v>
      </c>
      <c r="AM46" s="290" t="e">
        <f>($O46+AK46)*EXP(-($N46+Stoff!$M46*365)*AH46)</f>
        <v>#VALUE!</v>
      </c>
      <c r="AN46" s="290" t="e">
        <f>(Stoff!$P46*$O46+AL46)*EXP(-('1a. Spredningsmodell input'!$B$46)*AH46)</f>
        <v>#VALUE!</v>
      </c>
      <c r="AO46" s="292" t="e">
        <f>((AM46+AN46)*1000000000)/('1a. Spredningsmodell input'!$B$45*1000)</f>
        <v>#VALUE!</v>
      </c>
      <c r="AP46" s="294" t="e">
        <f>0.001*AO46/('1a. Spredningsmodell input'!$C$25+'1a. Spredningsmodell input'!$C$26/Mellomregninger!$K46)</f>
        <v>#VALUE!</v>
      </c>
      <c r="AQ46" s="294" t="e">
        <f>1000*AP46/$K46+AN46*1000000000/('1a. Spredningsmodell input'!$B$45*1000)</f>
        <v>#VALUE!</v>
      </c>
      <c r="AR46" s="294" t="e">
        <f t="shared" si="1"/>
        <v>#VALUE!</v>
      </c>
      <c r="AS46" s="294" t="e">
        <f>AN46*1000000000/('1a. Spredningsmodell input'!$B$45*1000)</f>
        <v>#VALUE!</v>
      </c>
      <c r="AT46" s="295">
        <f t="shared" si="25"/>
        <v>5</v>
      </c>
      <c r="AU46" s="290" t="e">
        <f>($D46-Stoff!$P46*$D46)*EXP(-($F46+Stoff!$L46*365)*AT46)</f>
        <v>#VALUE!</v>
      </c>
      <c r="AV46" s="291" t="e">
        <f>(Stoff!$P46*$D46)*EXP(-'1a. Spredningsmodell input'!$B$43*AT46)</f>
        <v>#VALUE!</v>
      </c>
      <c r="AW46" s="290" t="e">
        <f>($D46-Stoff!$P46*$D46-AU46)*($F46/($F46+Stoff!$L46*365))</f>
        <v>#VALUE!</v>
      </c>
      <c r="AX46" s="290" t="e">
        <f>(Stoff!$P46*$D46)-AV46</f>
        <v>#VALUE!</v>
      </c>
      <c r="AY46" s="290" t="e">
        <f>($O46+AW46)*EXP(-($N46+Stoff!$M46*365)*AT46)</f>
        <v>#VALUE!</v>
      </c>
      <c r="AZ46" s="290" t="e">
        <f>(Stoff!$P46*$O46+AX46)*EXP(-('1a. Spredningsmodell input'!$B$46)*AT46)</f>
        <v>#VALUE!</v>
      </c>
      <c r="BA46" s="292" t="e">
        <f>((AY46+AZ46)*1000000000)/('1a. Spredningsmodell input'!$B$45*1000)</f>
        <v>#VALUE!</v>
      </c>
      <c r="BB46" s="294" t="e">
        <f>0.001*BA46/('1a. Spredningsmodell input'!$C$25+'1a. Spredningsmodell input'!$C$26/Mellomregninger!$K46)</f>
        <v>#VALUE!</v>
      </c>
      <c r="BC46" s="294" t="e">
        <f>1000*BB46/$K46+AZ46*1000000000/('1a. Spredningsmodell input'!$B$45*1000)</f>
        <v>#VALUE!</v>
      </c>
      <c r="BD46" s="294" t="e">
        <f t="shared" si="2"/>
        <v>#VALUE!</v>
      </c>
      <c r="BE46" s="294" t="e">
        <f>AZ46*1000000000/('1a. Spredningsmodell input'!$B$45*1000)</f>
        <v>#VALUE!</v>
      </c>
      <c r="BF46" s="295">
        <f t="shared" si="26"/>
        <v>20</v>
      </c>
      <c r="BG46" s="290" t="e">
        <f>($D46-Stoff!$P46*$D46)*EXP(-($F46+Stoff!$L46*365)*BF46)</f>
        <v>#VALUE!</v>
      </c>
      <c r="BH46" s="291" t="e">
        <f>(Stoff!$P46*$D46)*EXP(-'1a. Spredningsmodell input'!$B$43*BF46)</f>
        <v>#VALUE!</v>
      </c>
      <c r="BI46" s="290" t="e">
        <f>($D46-Stoff!$P46*$D46-BG46)*($F46/($F46+Stoff!$L46*365))</f>
        <v>#VALUE!</v>
      </c>
      <c r="BJ46" s="290" t="e">
        <f>(Stoff!$P46*$D46)-BH46</f>
        <v>#VALUE!</v>
      </c>
      <c r="BK46" s="290" t="e">
        <f>($O46+BI46)*EXP(-($N46+Stoff!$M46*365)*BF46)</f>
        <v>#VALUE!</v>
      </c>
      <c r="BL46" s="290" t="e">
        <f>(Stoff!$P46*$O46+BJ46)*EXP(-('1a. Spredningsmodell input'!$B$46)*BF46)</f>
        <v>#VALUE!</v>
      </c>
      <c r="BM46" s="292" t="e">
        <f>((BK46+BL46)*1000000000)/('1a. Spredningsmodell input'!$B$45*1000)</f>
        <v>#VALUE!</v>
      </c>
      <c r="BN46" s="294" t="e">
        <f>0.001*BM46/('1a. Spredningsmodell input'!$C$25+'1a. Spredningsmodell input'!$C$26/Mellomregninger!$K46)</f>
        <v>#VALUE!</v>
      </c>
      <c r="BO46" s="294" t="e">
        <f>1000*BN46/$K46+BL46*1000000000/('1a. Spredningsmodell input'!$B$45*1000)</f>
        <v>#VALUE!</v>
      </c>
      <c r="BP46" s="294" t="e">
        <f t="shared" si="3"/>
        <v>#VALUE!</v>
      </c>
      <c r="BQ46" s="294" t="e">
        <f>BL46*1000000000/('1a. Spredningsmodell input'!$B$45*1000)</f>
        <v>#VALUE!</v>
      </c>
      <c r="BR46" s="295">
        <f t="shared" si="27"/>
        <v>100</v>
      </c>
      <c r="BS46" s="290" t="e">
        <f>($D46-Stoff!$P46*$D46)*EXP(-($F46+Stoff!$L46*365)*BR46)</f>
        <v>#VALUE!</v>
      </c>
      <c r="BT46" s="291" t="e">
        <f>(Stoff!$P46*$D46)*EXP(-'1a. Spredningsmodell input'!$B$43*BR46)</f>
        <v>#VALUE!</v>
      </c>
      <c r="BU46" s="290" t="e">
        <f>($D46-Stoff!$P46*$D46-BS46)*($F46/($F46+Stoff!$L46*365))</f>
        <v>#VALUE!</v>
      </c>
      <c r="BV46" s="290" t="e">
        <f>(Stoff!$P46*$D46)-BT46</f>
        <v>#VALUE!</v>
      </c>
      <c r="BW46" s="290" t="e">
        <f>($O46+BU46)*EXP(-($N46+Stoff!$M46*365)*BR46)</f>
        <v>#VALUE!</v>
      </c>
      <c r="BX46" s="290" t="e">
        <f>(Stoff!$P46*$O46+BV46)*EXP(-('1a. Spredningsmodell input'!$B$46)*BR46)</f>
        <v>#VALUE!</v>
      </c>
      <c r="BY46" s="292" t="e">
        <f>((BW46+BX46)*1000000000)/('1a. Spredningsmodell input'!$B$45*1000)</f>
        <v>#VALUE!</v>
      </c>
      <c r="BZ46" s="294" t="e">
        <f>0.001*BY46/('1a. Spredningsmodell input'!$C$25+'1a. Spredningsmodell input'!$C$26/Mellomregninger!$K46)</f>
        <v>#VALUE!</v>
      </c>
      <c r="CA46" s="294" t="e">
        <f>1000*BZ46/$K46+BX46*1000000000/('1a. Spredningsmodell input'!$B$45*1000)</f>
        <v>#VALUE!</v>
      </c>
      <c r="CB46" s="294" t="e">
        <f t="shared" si="4"/>
        <v>#VALUE!</v>
      </c>
      <c r="CC46" s="294" t="e">
        <f>BX46*1000000000/('1a. Spredningsmodell input'!$B$45*1000)</f>
        <v>#VALUE!</v>
      </c>
      <c r="CD46" s="294" t="e">
        <f>V46+'1a. Spredningsmodell input'!$C$35</f>
        <v>#VALUE!</v>
      </c>
      <c r="CE46" s="294" t="e">
        <f>($S46+$Q46*($O46+$I46*($D46*(1-Stoff!$P46))*(1-EXP(-($F46+Stoff!$L46*365)*CD46)))*(1-EXP(-($N46+Stoff!$M46*365)*CD46)))</f>
        <v>#VALUE!</v>
      </c>
      <c r="CF46" s="294" t="e">
        <f t="shared" si="5"/>
        <v>#VALUE!</v>
      </c>
      <c r="CG46" s="296" t="e">
        <f>(CF46/1000000)*'1a. Spredningsmodell input'!$B$49*'1a. Spredningsmodell input'!$C$35</f>
        <v>#VALUE!</v>
      </c>
      <c r="CH46" s="294" t="e">
        <f t="shared" si="17"/>
        <v>#VALUE!</v>
      </c>
      <c r="CI46" s="290" t="e">
        <f>(CH46/1000000)*'1a. Spredningsmodell input'!$B$49*'1a. Spredningsmodell input'!$C$35</f>
        <v>#VALUE!</v>
      </c>
      <c r="CJ46" s="297" t="e">
        <f>($S46)*EXP(-(Stoff!$N46*365+$U46)*CD46)+CG46</f>
        <v>#VALUE!</v>
      </c>
      <c r="CK46" s="297" t="e">
        <f>(Stoff!$P46*$S46+CI46)*EXP(-$T46*CD46)</f>
        <v>#VALUE!</v>
      </c>
      <c r="CL46" s="297" t="e">
        <f>(CJ46+CK46)*1000000000/('1a. Spredningsmodell input'!$C$36*1000)</f>
        <v>#VALUE!</v>
      </c>
      <c r="CM46" s="297" t="e">
        <f>$G46*(1-EXP(-'1a. Spredningsmodell input'!$B$43*Mellomregninger!CD46))*(1-EXP(-'1a. Spredningsmodell input'!$B$46*Mellomregninger!CD46))</f>
        <v>#VALUE!</v>
      </c>
      <c r="CN46" s="297"/>
      <c r="CO46" s="297"/>
      <c r="CP46" s="290">
        <f>IF(ISNUMBER(AH46),AH46+'1a. Spredningsmodell input'!$C$35,'1a. Spredningsmodell input'!$C$35)</f>
        <v>1</v>
      </c>
      <c r="CQ46" s="294" t="e">
        <f>($S46+$Q46*($O46+$I46*($D46*(1-Stoff!$P46))*(1-EXP(-($F46+Stoff!$L46*365)*CP46)))*(1-EXP(-($N46+Stoff!$M46*365)*CP46)))</f>
        <v>#VALUE!</v>
      </c>
      <c r="CR46" s="294" t="e">
        <f t="shared" si="6"/>
        <v>#VALUE!</v>
      </c>
      <c r="CS46" s="296" t="e">
        <f>(CR46/1000000)*('1a. Spredningsmodell input'!$B$49*'1a. Spredningsmodell input'!$C$35)</f>
        <v>#VALUE!</v>
      </c>
      <c r="CT46" s="294" t="e">
        <f t="shared" si="7"/>
        <v>#VALUE!</v>
      </c>
      <c r="CU46" s="290" t="e">
        <f>(CT46/1000000)*('1a. Spredningsmodell input'!$B$49)*'1a. Spredningsmodell input'!$C$35</f>
        <v>#VALUE!</v>
      </c>
      <c r="CV46" s="297" t="e">
        <f>($S46)*EXP(-(Stoff!$N46*365+$U46)*CP46)+CS46</f>
        <v>#VALUE!</v>
      </c>
      <c r="CW46" s="297" t="e">
        <f>(Stoff!$P46*$S46+CU46)*EXP(-$T46*CP46)</f>
        <v>#VALUE!</v>
      </c>
      <c r="CX46" s="297">
        <f>IF(ISERROR(CV46),0,(CV46+CW46)*1000000000/('1a. Spredningsmodell input'!$C$36*1000))</f>
        <v>0</v>
      </c>
      <c r="CY46" s="297" t="e">
        <f>$G46*(1-EXP(-'1a. Spredningsmodell input'!$B$43*Mellomregninger!CP46))*(1-EXP(-'1a. Spredningsmodell input'!$B$46*Mellomregninger!CP46))</f>
        <v>#VALUE!</v>
      </c>
      <c r="CZ46" s="297"/>
      <c r="DA46" s="297"/>
      <c r="DB46" s="262">
        <f t="shared" si="28"/>
        <v>5</v>
      </c>
      <c r="DC46" s="298" t="e">
        <f>($S46+$Q46*($O46+$I46*($D46*(1-Stoff!$P46))*(1-EXP(-($F46+Stoff!$L46*365)*DB46)))*(1-EXP(-($N46+Stoff!$M46*365)*DB46)))</f>
        <v>#VALUE!</v>
      </c>
      <c r="DD46" s="294" t="e">
        <f t="shared" si="8"/>
        <v>#VALUE!</v>
      </c>
      <c r="DE46" s="296" t="e">
        <f>(DD46/1000000)*('1a. Spredningsmodell input'!$B$49)*'1a. Spredningsmodell input'!$C$35</f>
        <v>#VALUE!</v>
      </c>
      <c r="DF46" s="294" t="e">
        <f t="shared" si="19"/>
        <v>#VALUE!</v>
      </c>
      <c r="DG46" s="290" t="e">
        <f>(DF46/1000000)*('1a. Spredningsmodell input'!$B$49)*'1a. Spredningsmodell input'!$C$35</f>
        <v>#VALUE!</v>
      </c>
      <c r="DH46" s="297" t="e">
        <f>($S46)*EXP(-(Stoff!$N46*365+$U46)*DB46)+DE46</f>
        <v>#VALUE!</v>
      </c>
      <c r="DI46" s="297" t="e">
        <f>(Stoff!$P46*$S46+DG46)*EXP(-$T46*DB46)</f>
        <v>#VALUE!</v>
      </c>
      <c r="DJ46" s="297" t="e">
        <f>(DH46+DI46)*1000000000/('1a. Spredningsmodell input'!$C$36*1000)</f>
        <v>#VALUE!</v>
      </c>
      <c r="DK46" s="297" t="e">
        <f>$G46*(1-EXP(-'1a. Spredningsmodell input'!$B$43*Mellomregninger!DB46))*(1-EXP(-'1a. Spredningsmodell input'!$B$46*Mellomregninger!DB46))</f>
        <v>#VALUE!</v>
      </c>
      <c r="DL46" s="297"/>
      <c r="DM46" s="297"/>
      <c r="DN46" s="262">
        <f t="shared" si="29"/>
        <v>20</v>
      </c>
      <c r="DO46" s="298" t="e">
        <f>($S46+$Q46*($O46+$I46*($D46*(1-Stoff!$P46))*(1-EXP(-($F46+Stoff!$L46*365)*DN46)))*(1-EXP(-($N46+Stoff!$M46*365)*DN46)))</f>
        <v>#VALUE!</v>
      </c>
      <c r="DP46" s="294" t="e">
        <f t="shared" si="21"/>
        <v>#VALUE!</v>
      </c>
      <c r="DQ46" s="296" t="e">
        <f>(DP46/1000000)*('1a. Spredningsmodell input'!$B$49)*'1a. Spredningsmodell input'!$C$35</f>
        <v>#VALUE!</v>
      </c>
      <c r="DR46" s="294" t="e">
        <f t="shared" si="9"/>
        <v>#VALUE!</v>
      </c>
      <c r="DS46" s="290" t="e">
        <f>(DR46/1000000)*('1a. Spredningsmodell input'!$B$49)*'1a. Spredningsmodell input'!$C$35</f>
        <v>#VALUE!</v>
      </c>
      <c r="DT46" s="297" t="e">
        <f>($S46)*EXP(-(Stoff!$N46*365+$U46)*DN46)+DQ46</f>
        <v>#VALUE!</v>
      </c>
      <c r="DU46" s="297" t="e">
        <f>(Stoff!$P46*$S46+DS46)*EXP(-$T46*DN46)</f>
        <v>#VALUE!</v>
      </c>
      <c r="DV46" s="297" t="e">
        <f>(DT46+DU46)*1000000000/('1a. Spredningsmodell input'!$C$36*1000)</f>
        <v>#VALUE!</v>
      </c>
      <c r="DW46" s="297" t="e">
        <f>$G46*(1-EXP(-'1a. Spredningsmodell input'!$B$43*Mellomregninger!DN46))*(1-EXP(-'1a. Spredningsmodell input'!$B$46*Mellomregninger!DN46))</f>
        <v>#VALUE!</v>
      </c>
      <c r="DX46" s="297"/>
      <c r="DY46" s="297"/>
      <c r="DZ46" s="262">
        <f t="shared" si="30"/>
        <v>100</v>
      </c>
      <c r="EA46" s="298" t="e">
        <f>($S46+$Q46*($O46+$I46*($D46*(1-Stoff!$P46))*(1-EXP(-($F46+Stoff!$L46*365)*DZ46)))*(1-EXP(-($N46+Stoff!$M46*365)*DZ46)))</f>
        <v>#VALUE!</v>
      </c>
      <c r="EB46" s="294" t="e">
        <f t="shared" si="10"/>
        <v>#VALUE!</v>
      </c>
      <c r="EC46" s="296" t="e">
        <f>(EB46/1000000)*('1a. Spredningsmodell input'!$B$49)*'1a. Spredningsmodell input'!$C$35</f>
        <v>#VALUE!</v>
      </c>
      <c r="ED46" s="294" t="e">
        <f t="shared" si="11"/>
        <v>#VALUE!</v>
      </c>
      <c r="EE46" s="290" t="e">
        <f>(ED46/1000000)*('1a. Spredningsmodell input'!$B$49)*'1a. Spredningsmodell input'!$C$35</f>
        <v>#VALUE!</v>
      </c>
      <c r="EF46" s="297" t="e">
        <f>($S46)*EXP(-(Stoff!$N46*365+$U46)*DZ46)+EC46</f>
        <v>#VALUE!</v>
      </c>
      <c r="EG46" s="297" t="e">
        <f>(Stoff!$P46*$S46+EE46)*EXP(-$T46*DZ46)</f>
        <v>#VALUE!</v>
      </c>
      <c r="EH46" s="297" t="e">
        <f>(EF46+EG46)*1000000000/('1a. Spredningsmodell input'!$C$36*1000)</f>
        <v>#VALUE!</v>
      </c>
      <c r="EI46" s="297" t="e">
        <f>$G46*(1-EXP(-'1a. Spredningsmodell input'!$B$43*Mellomregninger!DZ46))*(1-EXP(-'1a. Spredningsmodell input'!$B$46*Mellomregninger!DZ46))</f>
        <v>#VALUE!</v>
      </c>
      <c r="EJ46" s="297"/>
      <c r="EK46" s="297"/>
      <c r="EL46" s="262">
        <f t="shared" si="31"/>
        <v>1.0000000000000001E+25</v>
      </c>
      <c r="EM46" s="294" t="e">
        <f>($S46+$Q46*($O46+$I46*($D46*(1-Stoff!$P46))*(1-EXP(-($F46+Stoff!$L46*365)*EL46)))*(1-EXP(-($N46+Stoff!$M46*365)*EL46)))</f>
        <v>#VALUE!</v>
      </c>
      <c r="EN46" s="296" t="e">
        <f>($S46+$Q46*($O46+$I46*($D46*(1-Stoff!$P46))*(1-EXP(-($F46+Stoff!$L46*365)*(EL46-'1a. Spredningsmodell input'!$C$35))))*(1-EXP(-($N46+Stoff!$M46*365)*(EL46-'1a. Spredningsmodell input'!$C$35))))</f>
        <v>#VALUE!</v>
      </c>
      <c r="EO46" s="294" t="e">
        <f>IF(EL46&lt;'1a. Spredningsmodell input'!$C$35,EM46-($S46)*EXP(-(Stoff!$N46*365+$U46)*EL46),EM46-EN46)</f>
        <v>#VALUE!</v>
      </c>
      <c r="EP46" s="290" t="e">
        <f>((($D46*(Stoff!$P46))*(1-EXP(-'1a. Spredningsmodell input'!$B$43*EL46)))*(1-EXP(-'1a. Spredningsmodell input'!$B$46*EL46)))</f>
        <v>#VALUE!</v>
      </c>
      <c r="EQ46" s="294" t="e">
        <f>((($D46*(Stoff!$P46))*(1-EXP(-'1a. Spredningsmodell input'!$B$43*(EL46-'1a. Spredningsmodell input'!$C$35))))*(1-EXP(-'1a. Spredningsmodell input'!$B$46*(EL46-'1a. Spredningsmodell input'!$C$35))))</f>
        <v>#VALUE!</v>
      </c>
      <c r="ER46" s="290" t="e">
        <f>IF(EL46&lt;'1a. Spredningsmodell input'!$C$35,0,EP46-EQ46)</f>
        <v>#VALUE!</v>
      </c>
      <c r="ES46" s="297" t="e">
        <f>($S46)*EXP(-(Stoff!$N46*365+$U46)*EL46)+EO46</f>
        <v>#VALUE!</v>
      </c>
      <c r="ET46" s="297" t="e">
        <f>(Stoff!$P46*$S46+ER46)*EXP(-$T46*EL46)</f>
        <v>#VALUE!</v>
      </c>
      <c r="EU46" s="297" t="e">
        <f>(ES46+ET46)*1000000000/('1a. Spredningsmodell input'!$C$36*1000)</f>
        <v>#VALUE!</v>
      </c>
      <c r="EV46" s="262" t="e">
        <f t="shared" si="32"/>
        <v>#VALUE!</v>
      </c>
      <c r="EW46" s="299" t="e">
        <f t="shared" si="33"/>
        <v>#VALUE!</v>
      </c>
      <c r="EX46" s="262" t="e">
        <f t="shared" si="34"/>
        <v>#VALUE!</v>
      </c>
    </row>
    <row r="47" spans="1:154" x14ac:dyDescent="0.35">
      <c r="A47" s="50" t="s">
        <v>163</v>
      </c>
      <c r="B47" s="34" t="str">
        <f>IF(ISNUMBER('1c. Kons. porevann'!E47),1000*'1c. Kons. porevann'!E47,IF(ISNUMBER('1b. Kons. umettet jord'!E47),1000*'1b. Kons. umettet jord'!E47/C47,""))</f>
        <v/>
      </c>
      <c r="C47" s="244">
        <f>IF(Stoff!B47="uorganisk",Stoff!C47,Stoff!D47*'1a. Spredningsmodell input'!$C$11)</f>
        <v>588.84</v>
      </c>
      <c r="D47" s="34" t="str">
        <f>IF(ISNUMBER(B47),0.000001*('1b. Kons. umettet jord'!G47*'1a. Spredningsmodell input'!$C$12+B47*0.001*'1a. Spredningsmodell input'!$C$14)*1000*'1a. Spredningsmodell input'!$B$41*'1a. Spredningsmodell input'!$C$18,"")</f>
        <v/>
      </c>
      <c r="E47" s="283">
        <f>C47*'1a. Spredningsmodell input'!$C$12/'1a. Spredningsmodell input'!$C$14+1</f>
        <v>5006.1399999999994</v>
      </c>
      <c r="F47" s="284">
        <f>'1a. Spredningsmodell input'!$B$43/E47</f>
        <v>2.9963205184034005E-4</v>
      </c>
      <c r="G47" s="34" t="e">
        <f>Stoff!P47*Mellomregninger!D47</f>
        <v>#VALUE!</v>
      </c>
      <c r="H47" s="283" t="e">
        <f>(D47-G47)*(F47/(F47+Stoff!L47))</f>
        <v>#VALUE!</v>
      </c>
      <c r="I47" s="283">
        <f>F47/(F47+Stoff!L47)</f>
        <v>1</v>
      </c>
      <c r="J47" s="285" t="str">
        <f>IF(B47="","",IF(ISNUMBER('1d. Kons. mettet sone'!E47),'1d. Kons. mettet sone'!E47,IF(ISNUMBER('1e. Kons. grunnvann'!E47),'1e. Kons. grunnvann'!E47*Mellomregninger!K47,0)))</f>
        <v/>
      </c>
      <c r="K47" s="286">
        <f>IF(Stoff!B47="uorganisk",Stoff!C47,Stoff!D47*'1a. Spredningsmodell input'!$C$24)</f>
        <v>58.884</v>
      </c>
      <c r="L47" s="27" t="e">
        <f>IF(ISNUMBER('1e. Kons. grunnvann'!E47),1000*'1e. Kons. grunnvann'!E47,1000*J47/K47)</f>
        <v>#VALUE!</v>
      </c>
      <c r="M47" s="34">
        <f>K47*'1a. Spredningsmodell input'!$C$25/'1a. Spredningsmodell input'!$C$26+1</f>
        <v>251.25700000000001</v>
      </c>
      <c r="N47" s="284">
        <f>'1a. Spredningsmodell input'!$C$26/M47</f>
        <v>1.5919954468930218E-3</v>
      </c>
      <c r="O47" s="287" t="e">
        <f>0.000000001*(J47*'1a. Spredningsmodell input'!$C$25+L47)*1000*'1a. Spredningsmodell input'!$B$45</f>
        <v>#VALUE!</v>
      </c>
      <c r="P47" s="287" t="e">
        <f>O47*Stoff!P47</f>
        <v>#VALUE!</v>
      </c>
      <c r="Q47" s="287">
        <f>N47/(N47+Stoff!M47)</f>
        <v>1</v>
      </c>
      <c r="R47" s="288">
        <f>IF(ISNUMBER('1f. Kons. resipient'!E47),'1f. Kons. resipient'!E47,0)</f>
        <v>0</v>
      </c>
      <c r="S47" s="288">
        <f>0.000000001*'1a. Spredningsmodell input'!$C$36*R47*1000</f>
        <v>0</v>
      </c>
      <c r="T47" s="288">
        <f>1/'1a. Spredningsmodell input'!$C$35</f>
        <v>1</v>
      </c>
      <c r="U47" s="288">
        <f>1/'1a. Spredningsmodell input'!$C$35</f>
        <v>1</v>
      </c>
      <c r="V47" s="300" t="e">
        <f>(1/($N47+Stoff!$L47))*(LN(($D47*$I47/($D47*$I47+$J47))*($F47+Stoff!$L47+$N47+Stoff!$M47)/($N47+Stoff!$M47)))</f>
        <v>#VALUE!</v>
      </c>
      <c r="W47" s="290" t="e">
        <f>($D47-Stoff!$P47*$D47)*EXP(-($F47+Stoff!$L47*365)*V47)</f>
        <v>#VALUE!</v>
      </c>
      <c r="X47" s="291" t="e">
        <f>(Stoff!$P47*$D47)*EXP(-'1a. Spredningsmodell input'!$B$43*V47)</f>
        <v>#VALUE!</v>
      </c>
      <c r="Y47" s="290" t="e">
        <f>($D47-Stoff!$P47*$D47-W47)*($F47/($F47+Stoff!$L47*365))</f>
        <v>#VALUE!</v>
      </c>
      <c r="Z47" s="290" t="e">
        <f>(Stoff!$P47*$D47)-X47</f>
        <v>#VALUE!</v>
      </c>
      <c r="AA47" s="290" t="e">
        <f>($O47+Y47)*EXP(-($N47+Stoff!$M47*365)*V47)</f>
        <v>#VALUE!</v>
      </c>
      <c r="AB47" s="290" t="e">
        <f>(Stoff!$P47*$O47+Z47)*EXP(-('1a. Spredningsmodell input'!$B$46)*V47)</f>
        <v>#VALUE!</v>
      </c>
      <c r="AC47" s="292" t="e">
        <f>((AA47+AB47)*1000000000)/('1a. Spredningsmodell input'!$B$45*1000)</f>
        <v>#VALUE!</v>
      </c>
      <c r="AD47" s="294" t="e">
        <f>0.001*AC47/('1a. Spredningsmodell input'!$C$25+'1a. Spredningsmodell input'!$C$26/Mellomregninger!$K47)</f>
        <v>#VALUE!</v>
      </c>
      <c r="AE47" s="294" t="e">
        <f>1000*AD47/$K47+AB47*1000000000/('1a. Spredningsmodell input'!$B$45*1000)</f>
        <v>#VALUE!</v>
      </c>
      <c r="AF47" s="294" t="e">
        <f t="shared" si="0"/>
        <v>#VALUE!</v>
      </c>
      <c r="AG47" s="294" t="e">
        <f>AB47*1000000000/('1a. Spredningsmodell input'!$B$45*1000)</f>
        <v>#VALUE!</v>
      </c>
      <c r="AH47" s="300" t="e">
        <f>(1/('1a. Spredningsmodell input'!$B$46))*(LN(($D47*Stoff!$P47/($D47*Stoff!$P47+$P47*Stoff!$P47))*('1a. Spredningsmodell input'!$B$43+'1a. Spredningsmodell input'!$B$46)/('1a. Spredningsmodell input'!$B$46)))</f>
        <v>#VALUE!</v>
      </c>
      <c r="AI47" s="290" t="e">
        <f>($D47-Stoff!$P47*$D47)*EXP(-($F47+Stoff!$L47*365)*AH47)</f>
        <v>#VALUE!</v>
      </c>
      <c r="AJ47" s="291" t="e">
        <f>(Stoff!$P47*$D47)*EXP(-'1a. Spredningsmodell input'!$B$43*AH47)</f>
        <v>#VALUE!</v>
      </c>
      <c r="AK47" s="290" t="e">
        <f>($D47-Stoff!$P47*$D47-AI47)*($F47/($F47+Stoff!$L47*365))</f>
        <v>#VALUE!</v>
      </c>
      <c r="AL47" s="290" t="e">
        <f>(Stoff!$P47*$D47)-AJ47</f>
        <v>#VALUE!</v>
      </c>
      <c r="AM47" s="290" t="e">
        <f>($O47+AK47)*EXP(-($N47+Stoff!$M47*365)*AH47)</f>
        <v>#VALUE!</v>
      </c>
      <c r="AN47" s="290" t="e">
        <f>(Stoff!$P47*$O47+AL47)*EXP(-('1a. Spredningsmodell input'!$B$46)*AH47)</f>
        <v>#VALUE!</v>
      </c>
      <c r="AO47" s="292" t="e">
        <f>((AM47+AN47)*1000000000)/('1a. Spredningsmodell input'!$B$45*1000)</f>
        <v>#VALUE!</v>
      </c>
      <c r="AP47" s="294" t="e">
        <f>0.001*AO47/('1a. Spredningsmodell input'!$C$25+'1a. Spredningsmodell input'!$C$26/Mellomregninger!$K47)</f>
        <v>#VALUE!</v>
      </c>
      <c r="AQ47" s="294" t="e">
        <f>1000*AP47/$K47+AN47*1000000000/('1a. Spredningsmodell input'!$B$45*1000)</f>
        <v>#VALUE!</v>
      </c>
      <c r="AR47" s="294" t="e">
        <f t="shared" si="1"/>
        <v>#VALUE!</v>
      </c>
      <c r="AS47" s="294" t="e">
        <f>AN47*1000000000/('1a. Spredningsmodell input'!$B$45*1000)</f>
        <v>#VALUE!</v>
      </c>
      <c r="AT47" s="295">
        <f t="shared" si="25"/>
        <v>5</v>
      </c>
      <c r="AU47" s="290" t="e">
        <f>($D47-Stoff!$P47*$D47)*EXP(-($F47+Stoff!$L47*365)*AT47)</f>
        <v>#VALUE!</v>
      </c>
      <c r="AV47" s="291" t="e">
        <f>(Stoff!$P47*$D47)*EXP(-'1a. Spredningsmodell input'!$B$43*AT47)</f>
        <v>#VALUE!</v>
      </c>
      <c r="AW47" s="290" t="e">
        <f>($D47-Stoff!$P47*$D47-AU47)*($F47/($F47+Stoff!$L47*365))</f>
        <v>#VALUE!</v>
      </c>
      <c r="AX47" s="290" t="e">
        <f>(Stoff!$P47*$D47)-AV47</f>
        <v>#VALUE!</v>
      </c>
      <c r="AY47" s="290" t="e">
        <f>($O47+AW47)*EXP(-($N47+Stoff!$M47*365)*AT47)</f>
        <v>#VALUE!</v>
      </c>
      <c r="AZ47" s="290" t="e">
        <f>(Stoff!$P47*$O47+AX47)*EXP(-('1a. Spredningsmodell input'!$B$46)*AT47)</f>
        <v>#VALUE!</v>
      </c>
      <c r="BA47" s="292" t="e">
        <f>((AY47+AZ47)*1000000000)/('1a. Spredningsmodell input'!$B$45*1000)</f>
        <v>#VALUE!</v>
      </c>
      <c r="BB47" s="294" t="e">
        <f>0.001*BA47/('1a. Spredningsmodell input'!$C$25+'1a. Spredningsmodell input'!$C$26/Mellomregninger!$K47)</f>
        <v>#VALUE!</v>
      </c>
      <c r="BC47" s="294" t="e">
        <f>1000*BB47/$K47+AZ47*1000000000/('1a. Spredningsmodell input'!$B$45*1000)</f>
        <v>#VALUE!</v>
      </c>
      <c r="BD47" s="294" t="e">
        <f t="shared" si="2"/>
        <v>#VALUE!</v>
      </c>
      <c r="BE47" s="294" t="e">
        <f>AZ47*1000000000/('1a. Spredningsmodell input'!$B$45*1000)</f>
        <v>#VALUE!</v>
      </c>
      <c r="BF47" s="295">
        <f t="shared" si="26"/>
        <v>20</v>
      </c>
      <c r="BG47" s="290" t="e">
        <f>($D47-Stoff!$P47*$D47)*EXP(-($F47+Stoff!$L47*365)*BF47)</f>
        <v>#VALUE!</v>
      </c>
      <c r="BH47" s="291" t="e">
        <f>(Stoff!$P47*$D47)*EXP(-'1a. Spredningsmodell input'!$B$43*BF47)</f>
        <v>#VALUE!</v>
      </c>
      <c r="BI47" s="290" t="e">
        <f>($D47-Stoff!$P47*$D47-BG47)*($F47/($F47+Stoff!$L47*365))</f>
        <v>#VALUE!</v>
      </c>
      <c r="BJ47" s="290" t="e">
        <f>(Stoff!$P47*$D47)-BH47</f>
        <v>#VALUE!</v>
      </c>
      <c r="BK47" s="290" t="e">
        <f>($O47+BI47)*EXP(-($N47+Stoff!$M47*365)*BF47)</f>
        <v>#VALUE!</v>
      </c>
      <c r="BL47" s="290" t="e">
        <f>(Stoff!$P47*$O47+BJ47)*EXP(-('1a. Spredningsmodell input'!$B$46)*BF47)</f>
        <v>#VALUE!</v>
      </c>
      <c r="BM47" s="292" t="e">
        <f>((BK47+BL47)*1000000000)/('1a. Spredningsmodell input'!$B$45*1000)</f>
        <v>#VALUE!</v>
      </c>
      <c r="BN47" s="294" t="e">
        <f>0.001*BM47/('1a. Spredningsmodell input'!$C$25+'1a. Spredningsmodell input'!$C$26/Mellomregninger!$K47)</f>
        <v>#VALUE!</v>
      </c>
      <c r="BO47" s="294" t="e">
        <f>1000*BN47/$K47+BL47*1000000000/('1a. Spredningsmodell input'!$B$45*1000)</f>
        <v>#VALUE!</v>
      </c>
      <c r="BP47" s="294" t="e">
        <f t="shared" si="3"/>
        <v>#VALUE!</v>
      </c>
      <c r="BQ47" s="294" t="e">
        <f>BL47*1000000000/('1a. Spredningsmodell input'!$B$45*1000)</f>
        <v>#VALUE!</v>
      </c>
      <c r="BR47" s="295">
        <f t="shared" si="27"/>
        <v>100</v>
      </c>
      <c r="BS47" s="290" t="e">
        <f>($D47-Stoff!$P47*$D47)*EXP(-($F47+Stoff!$L47*365)*BR47)</f>
        <v>#VALUE!</v>
      </c>
      <c r="BT47" s="291" t="e">
        <f>(Stoff!$P47*$D47)*EXP(-'1a. Spredningsmodell input'!$B$43*BR47)</f>
        <v>#VALUE!</v>
      </c>
      <c r="BU47" s="290" t="e">
        <f>($D47-Stoff!$P47*$D47-BS47)*($F47/($F47+Stoff!$L47*365))</f>
        <v>#VALUE!</v>
      </c>
      <c r="BV47" s="290" t="e">
        <f>(Stoff!$P47*$D47)-BT47</f>
        <v>#VALUE!</v>
      </c>
      <c r="BW47" s="290" t="e">
        <f>($O47+BU47)*EXP(-($N47+Stoff!$M47*365)*BR47)</f>
        <v>#VALUE!</v>
      </c>
      <c r="BX47" s="290" t="e">
        <f>(Stoff!$P47*$O47+BV47)*EXP(-('1a. Spredningsmodell input'!$B$46)*BR47)</f>
        <v>#VALUE!</v>
      </c>
      <c r="BY47" s="292" t="e">
        <f>((BW47+BX47)*1000000000)/('1a. Spredningsmodell input'!$B$45*1000)</f>
        <v>#VALUE!</v>
      </c>
      <c r="BZ47" s="294" t="e">
        <f>0.001*BY47/('1a. Spredningsmodell input'!$C$25+'1a. Spredningsmodell input'!$C$26/Mellomregninger!$K47)</f>
        <v>#VALUE!</v>
      </c>
      <c r="CA47" s="294" t="e">
        <f>1000*BZ47/$K47+BX47*1000000000/('1a. Spredningsmodell input'!$B$45*1000)</f>
        <v>#VALUE!</v>
      </c>
      <c r="CB47" s="294" t="e">
        <f t="shared" si="4"/>
        <v>#VALUE!</v>
      </c>
      <c r="CC47" s="294" t="e">
        <f>BX47*1000000000/('1a. Spredningsmodell input'!$B$45*1000)</f>
        <v>#VALUE!</v>
      </c>
      <c r="CD47" s="294" t="e">
        <f>V47+'1a. Spredningsmodell input'!$C$35</f>
        <v>#VALUE!</v>
      </c>
      <c r="CE47" s="294" t="e">
        <f>($S47+$Q47*($O47+$I47*($D47*(1-Stoff!$P47))*(1-EXP(-($F47+Stoff!$L47*365)*CD47)))*(1-EXP(-($N47+Stoff!$M47*365)*CD47)))</f>
        <v>#VALUE!</v>
      </c>
      <c r="CF47" s="294" t="e">
        <f t="shared" si="5"/>
        <v>#VALUE!</v>
      </c>
      <c r="CG47" s="296" t="e">
        <f>(CF47/1000000)*'1a. Spredningsmodell input'!$B$49*'1a. Spredningsmodell input'!$C$35</f>
        <v>#VALUE!</v>
      </c>
      <c r="CH47" s="294" t="e">
        <f t="shared" si="17"/>
        <v>#VALUE!</v>
      </c>
      <c r="CI47" s="290" t="e">
        <f>(CH47/1000000)*'1a. Spredningsmodell input'!$B$49*'1a. Spredningsmodell input'!$C$35</f>
        <v>#VALUE!</v>
      </c>
      <c r="CJ47" s="297" t="e">
        <f>($S47)*EXP(-(Stoff!$N47*365+$U47)*CD47)+CG47</f>
        <v>#VALUE!</v>
      </c>
      <c r="CK47" s="297" t="e">
        <f>(Stoff!$P47*$S47+CI47)*EXP(-$T47*CD47)</f>
        <v>#VALUE!</v>
      </c>
      <c r="CL47" s="297" t="e">
        <f>(CJ47+CK47)*1000000000/('1a. Spredningsmodell input'!$C$36*1000)</f>
        <v>#VALUE!</v>
      </c>
      <c r="CM47" s="297" t="e">
        <f>$G47*(1-EXP(-'1a. Spredningsmodell input'!$B$43*Mellomregninger!CD47))*(1-EXP(-'1a. Spredningsmodell input'!$B$46*Mellomregninger!CD47))</f>
        <v>#VALUE!</v>
      </c>
      <c r="CN47" s="297"/>
      <c r="CO47" s="297"/>
      <c r="CP47" s="290">
        <f>IF(ISNUMBER(AH47),AH47+'1a. Spredningsmodell input'!$C$35,'1a. Spredningsmodell input'!$C$35)</f>
        <v>1</v>
      </c>
      <c r="CQ47" s="294" t="e">
        <f>($S47+$Q47*($O47+$I47*($D47*(1-Stoff!$P47))*(1-EXP(-($F47+Stoff!$L47*365)*CP47)))*(1-EXP(-($N47+Stoff!$M47*365)*CP47)))</f>
        <v>#VALUE!</v>
      </c>
      <c r="CR47" s="294" t="e">
        <f t="shared" si="6"/>
        <v>#VALUE!</v>
      </c>
      <c r="CS47" s="296" t="e">
        <f>(CR47/1000000)*('1a. Spredningsmodell input'!$B$49*'1a. Spredningsmodell input'!$C$35)</f>
        <v>#VALUE!</v>
      </c>
      <c r="CT47" s="294" t="e">
        <f t="shared" si="7"/>
        <v>#VALUE!</v>
      </c>
      <c r="CU47" s="290" t="e">
        <f>(CT47/1000000)*('1a. Spredningsmodell input'!$B$49)*'1a. Spredningsmodell input'!$C$35</f>
        <v>#VALUE!</v>
      </c>
      <c r="CV47" s="297" t="e">
        <f>($S47)*EXP(-(Stoff!$N47*365+$U47)*CP47)+CS47</f>
        <v>#VALUE!</v>
      </c>
      <c r="CW47" s="297" t="e">
        <f>(Stoff!$P47*$S47+CU47)*EXP(-$T47*CP47)</f>
        <v>#VALUE!</v>
      </c>
      <c r="CX47" s="297">
        <f>IF(ISERROR(CV47),0,(CV47+CW47)*1000000000/('1a. Spredningsmodell input'!$C$36*1000))</f>
        <v>0</v>
      </c>
      <c r="CY47" s="297" t="e">
        <f>$G47*(1-EXP(-'1a. Spredningsmodell input'!$B$43*Mellomregninger!CP47))*(1-EXP(-'1a. Spredningsmodell input'!$B$46*Mellomregninger!CP47))</f>
        <v>#VALUE!</v>
      </c>
      <c r="CZ47" s="297"/>
      <c r="DA47" s="297"/>
      <c r="DB47" s="262">
        <f t="shared" si="28"/>
        <v>5</v>
      </c>
      <c r="DC47" s="298" t="e">
        <f>($S47+$Q47*($O47+$I47*($D47*(1-Stoff!$P47))*(1-EXP(-($F47+Stoff!$L47*365)*DB47)))*(1-EXP(-($N47+Stoff!$M47*365)*DB47)))</f>
        <v>#VALUE!</v>
      </c>
      <c r="DD47" s="294" t="e">
        <f t="shared" si="8"/>
        <v>#VALUE!</v>
      </c>
      <c r="DE47" s="296" t="e">
        <f>(DD47/1000000)*('1a. Spredningsmodell input'!$B$49)*'1a. Spredningsmodell input'!$C$35</f>
        <v>#VALUE!</v>
      </c>
      <c r="DF47" s="294" t="e">
        <f t="shared" si="19"/>
        <v>#VALUE!</v>
      </c>
      <c r="DG47" s="290" t="e">
        <f>(DF47/1000000)*('1a. Spredningsmodell input'!$B$49)*'1a. Spredningsmodell input'!$C$35</f>
        <v>#VALUE!</v>
      </c>
      <c r="DH47" s="297" t="e">
        <f>($S47)*EXP(-(Stoff!$N47*365+$U47)*DB47)+DE47</f>
        <v>#VALUE!</v>
      </c>
      <c r="DI47" s="297" t="e">
        <f>(Stoff!$P47*$S47+DG47)*EXP(-$T47*DB47)</f>
        <v>#VALUE!</v>
      </c>
      <c r="DJ47" s="297" t="e">
        <f>(DH47+DI47)*1000000000/('1a. Spredningsmodell input'!$C$36*1000)</f>
        <v>#VALUE!</v>
      </c>
      <c r="DK47" s="297" t="e">
        <f>$G47*(1-EXP(-'1a. Spredningsmodell input'!$B$43*Mellomregninger!DB47))*(1-EXP(-'1a. Spredningsmodell input'!$B$46*Mellomregninger!DB47))</f>
        <v>#VALUE!</v>
      </c>
      <c r="DL47" s="297"/>
      <c r="DM47" s="297"/>
      <c r="DN47" s="262">
        <f t="shared" si="29"/>
        <v>20</v>
      </c>
      <c r="DO47" s="298" t="e">
        <f>($S47+$Q47*($O47+$I47*($D47*(1-Stoff!$P47))*(1-EXP(-($F47+Stoff!$L47*365)*DN47)))*(1-EXP(-($N47+Stoff!$M47*365)*DN47)))</f>
        <v>#VALUE!</v>
      </c>
      <c r="DP47" s="294" t="e">
        <f t="shared" si="21"/>
        <v>#VALUE!</v>
      </c>
      <c r="DQ47" s="296" t="e">
        <f>(DP47/1000000)*('1a. Spredningsmodell input'!$B$49)*'1a. Spredningsmodell input'!$C$35</f>
        <v>#VALUE!</v>
      </c>
      <c r="DR47" s="294" t="e">
        <f t="shared" si="9"/>
        <v>#VALUE!</v>
      </c>
      <c r="DS47" s="290" t="e">
        <f>(DR47/1000000)*('1a. Spredningsmodell input'!$B$49)*'1a. Spredningsmodell input'!$C$35</f>
        <v>#VALUE!</v>
      </c>
      <c r="DT47" s="297" t="e">
        <f>($S47)*EXP(-(Stoff!$N47*365+$U47)*DN47)+DQ47</f>
        <v>#VALUE!</v>
      </c>
      <c r="DU47" s="297" t="e">
        <f>(Stoff!$P47*$S47+DS47)*EXP(-$T47*DN47)</f>
        <v>#VALUE!</v>
      </c>
      <c r="DV47" s="297" t="e">
        <f>(DT47+DU47)*1000000000/('1a. Spredningsmodell input'!$C$36*1000)</f>
        <v>#VALUE!</v>
      </c>
      <c r="DW47" s="297" t="e">
        <f>$G47*(1-EXP(-'1a. Spredningsmodell input'!$B$43*Mellomregninger!DN47))*(1-EXP(-'1a. Spredningsmodell input'!$B$46*Mellomregninger!DN47))</f>
        <v>#VALUE!</v>
      </c>
      <c r="DX47" s="297"/>
      <c r="DY47" s="297"/>
      <c r="DZ47" s="262">
        <f t="shared" si="30"/>
        <v>100</v>
      </c>
      <c r="EA47" s="298" t="e">
        <f>($S47+$Q47*($O47+$I47*($D47*(1-Stoff!$P47))*(1-EXP(-($F47+Stoff!$L47*365)*DZ47)))*(1-EXP(-($N47+Stoff!$M47*365)*DZ47)))</f>
        <v>#VALUE!</v>
      </c>
      <c r="EB47" s="294" t="e">
        <f t="shared" si="10"/>
        <v>#VALUE!</v>
      </c>
      <c r="EC47" s="296" t="e">
        <f>(EB47/1000000)*('1a. Spredningsmodell input'!$B$49)*'1a. Spredningsmodell input'!$C$35</f>
        <v>#VALUE!</v>
      </c>
      <c r="ED47" s="294" t="e">
        <f t="shared" si="11"/>
        <v>#VALUE!</v>
      </c>
      <c r="EE47" s="290" t="e">
        <f>(ED47/1000000)*('1a. Spredningsmodell input'!$B$49)*'1a. Spredningsmodell input'!$C$35</f>
        <v>#VALUE!</v>
      </c>
      <c r="EF47" s="297" t="e">
        <f>($S47)*EXP(-(Stoff!$N47*365+$U47)*DZ47)+EC47</f>
        <v>#VALUE!</v>
      </c>
      <c r="EG47" s="297" t="e">
        <f>(Stoff!$P47*$S47+EE47)*EXP(-$T47*DZ47)</f>
        <v>#VALUE!</v>
      </c>
      <c r="EH47" s="297" t="e">
        <f>(EF47+EG47)*1000000000/('1a. Spredningsmodell input'!$C$36*1000)</f>
        <v>#VALUE!</v>
      </c>
      <c r="EI47" s="297" t="e">
        <f>$G47*(1-EXP(-'1a. Spredningsmodell input'!$B$43*Mellomregninger!DZ47))*(1-EXP(-'1a. Spredningsmodell input'!$B$46*Mellomregninger!DZ47))</f>
        <v>#VALUE!</v>
      </c>
      <c r="EJ47" s="297"/>
      <c r="EK47" s="297"/>
      <c r="EL47" s="262">
        <f t="shared" si="31"/>
        <v>1.0000000000000001E+25</v>
      </c>
      <c r="EM47" s="294" t="e">
        <f>($S47+$Q47*($O47+$I47*($D47*(1-Stoff!$P47))*(1-EXP(-($F47+Stoff!$L47*365)*EL47)))*(1-EXP(-($N47+Stoff!$M47*365)*EL47)))</f>
        <v>#VALUE!</v>
      </c>
      <c r="EN47" s="296" t="e">
        <f>($S47+$Q47*($O47+$I47*($D47*(1-Stoff!$P47))*(1-EXP(-($F47+Stoff!$L47*365)*(EL47-'1a. Spredningsmodell input'!$C$35))))*(1-EXP(-($N47+Stoff!$M47*365)*(EL47-'1a. Spredningsmodell input'!$C$35))))</f>
        <v>#VALUE!</v>
      </c>
      <c r="EO47" s="294" t="e">
        <f>IF(EL47&lt;'1a. Spredningsmodell input'!$C$35,EM47-($S47)*EXP(-(Stoff!$N47*365+$U47)*EL47),EM47-EN47)</f>
        <v>#VALUE!</v>
      </c>
      <c r="EP47" s="290" t="e">
        <f>((($D47*(Stoff!$P47))*(1-EXP(-'1a. Spredningsmodell input'!$B$43*EL47)))*(1-EXP(-'1a. Spredningsmodell input'!$B$46*EL47)))</f>
        <v>#VALUE!</v>
      </c>
      <c r="EQ47" s="294" t="e">
        <f>((($D47*(Stoff!$P47))*(1-EXP(-'1a. Spredningsmodell input'!$B$43*(EL47-'1a. Spredningsmodell input'!$C$35))))*(1-EXP(-'1a. Spredningsmodell input'!$B$46*(EL47-'1a. Spredningsmodell input'!$C$35))))</f>
        <v>#VALUE!</v>
      </c>
      <c r="ER47" s="290" t="e">
        <f>IF(EL47&lt;'1a. Spredningsmodell input'!$C$35,0,EP47-EQ47)</f>
        <v>#VALUE!</v>
      </c>
      <c r="ES47" s="297" t="e">
        <f>($S47)*EXP(-(Stoff!$N47*365+$U47)*EL47)+EO47</f>
        <v>#VALUE!</v>
      </c>
      <c r="ET47" s="297" t="e">
        <f>(Stoff!$P47*$S47+ER47)*EXP(-$T47*EL47)</f>
        <v>#VALUE!</v>
      </c>
      <c r="EU47" s="297" t="e">
        <f>(ES47+ET47)*1000000000/('1a. Spredningsmodell input'!$C$36*1000)</f>
        <v>#VALUE!</v>
      </c>
      <c r="EV47" s="262" t="e">
        <f t="shared" si="32"/>
        <v>#VALUE!</v>
      </c>
      <c r="EW47" s="299" t="e">
        <f t="shared" si="33"/>
        <v>#VALUE!</v>
      </c>
      <c r="EX47" s="262" t="e">
        <f t="shared" si="34"/>
        <v>#VALUE!</v>
      </c>
    </row>
    <row r="48" spans="1:154" x14ac:dyDescent="0.35">
      <c r="A48" s="50" t="s">
        <v>162</v>
      </c>
      <c r="B48" s="34" t="str">
        <f>IF(ISNUMBER('1c. Kons. porevann'!E48),1000*'1c. Kons. porevann'!E48,IF(ISNUMBER('1b. Kons. umettet jord'!E48),1000*'1b. Kons. umettet jord'!E48/C48,""))</f>
        <v/>
      </c>
      <c r="C48" s="244">
        <f>IF(Stoff!B48="uorganisk",Stoff!C48,Stoff!D48*'1a. Spredningsmodell input'!$C$11)</f>
        <v>5011.87</v>
      </c>
      <c r="D48" s="34" t="str">
        <f>IF(ISNUMBER(B48),0.000001*('1b. Kons. umettet jord'!G48*'1a. Spredningsmodell input'!$C$12+B48*0.001*'1a. Spredningsmodell input'!$C$14)*1000*'1a. Spredningsmodell input'!$B$41*'1a. Spredningsmodell input'!$C$18,"")</f>
        <v/>
      </c>
      <c r="E48" s="283">
        <f>C48*'1a. Spredningsmodell input'!$C$12/'1a. Spredningsmodell input'!$C$14+1</f>
        <v>42601.894999999997</v>
      </c>
      <c r="F48" s="284">
        <f>'1a. Spredningsmodell input'!$B$43/E48</f>
        <v>3.5209701352486783E-5</v>
      </c>
      <c r="G48" s="34" t="e">
        <f>Stoff!P48*Mellomregninger!D48</f>
        <v>#VALUE!</v>
      </c>
      <c r="H48" s="283" t="e">
        <f>(D48-G48)*(F48/(F48+Stoff!L48))</f>
        <v>#VALUE!</v>
      </c>
      <c r="I48" s="283">
        <f>F48/(F48+Stoff!L48)</f>
        <v>1</v>
      </c>
      <c r="J48" s="285" t="str">
        <f>IF(B48="","",IF(ISNUMBER('1d. Kons. mettet sone'!E48),'1d. Kons. mettet sone'!E48,IF(ISNUMBER('1e. Kons. grunnvann'!E48),'1e. Kons. grunnvann'!E48*Mellomregninger!K48,0)))</f>
        <v/>
      </c>
      <c r="K48" s="286">
        <f>IF(Stoff!B48="uorganisk",Stoff!C48,Stoff!D48*'1a. Spredningsmodell input'!$C$24)</f>
        <v>501.18700000000001</v>
      </c>
      <c r="L48" s="27" t="e">
        <f>IF(ISNUMBER('1e. Kons. grunnvann'!E48),1000*'1e. Kons. grunnvann'!E48,1000*J48/K48)</f>
        <v>#VALUE!</v>
      </c>
      <c r="M48" s="34">
        <f>K48*'1a. Spredningsmodell input'!$C$25/'1a. Spredningsmodell input'!$C$26+1</f>
        <v>2131.04475</v>
      </c>
      <c r="N48" s="284">
        <f>'1a. Spredningsmodell input'!$C$26/M48</f>
        <v>1.8770136103430019E-4</v>
      </c>
      <c r="O48" s="287" t="e">
        <f>0.000000001*(J48*'1a. Spredningsmodell input'!$C$25+L48)*1000*'1a. Spredningsmodell input'!$B$45</f>
        <v>#VALUE!</v>
      </c>
      <c r="P48" s="287" t="e">
        <f>O48*Stoff!P48</f>
        <v>#VALUE!</v>
      </c>
      <c r="Q48" s="287">
        <f>N48/(N48+Stoff!M48)</f>
        <v>1</v>
      </c>
      <c r="R48" s="288">
        <f>IF(ISNUMBER('1f. Kons. resipient'!E48),'1f. Kons. resipient'!E48,0)</f>
        <v>0</v>
      </c>
      <c r="S48" s="288">
        <f>0.000000001*'1a. Spredningsmodell input'!$C$36*R48*1000</f>
        <v>0</v>
      </c>
      <c r="T48" s="288">
        <f>1/'1a. Spredningsmodell input'!$C$35</f>
        <v>1</v>
      </c>
      <c r="U48" s="288">
        <f>1/'1a. Spredningsmodell input'!$C$35</f>
        <v>1</v>
      </c>
      <c r="V48" s="300" t="e">
        <f>(1/($N48+Stoff!$L48))*(LN(($D48*$I48/($D48*$I48+$J48))*($F48+Stoff!$L48+$N48+Stoff!$M48)/($N48+Stoff!$M48)))</f>
        <v>#VALUE!</v>
      </c>
      <c r="W48" s="290" t="e">
        <f>($D48-Stoff!$P48*$D48)*EXP(-($F48+Stoff!$L48*365)*V48)</f>
        <v>#VALUE!</v>
      </c>
      <c r="X48" s="291" t="e">
        <f>(Stoff!$P48*$D48)*EXP(-'1a. Spredningsmodell input'!$B$43*V48)</f>
        <v>#VALUE!</v>
      </c>
      <c r="Y48" s="290" t="e">
        <f>($D48-Stoff!$P48*$D48-W48)*($F48/($F48+Stoff!$L48*365))</f>
        <v>#VALUE!</v>
      </c>
      <c r="Z48" s="290" t="e">
        <f>(Stoff!$P48*$D48)-X48</f>
        <v>#VALUE!</v>
      </c>
      <c r="AA48" s="290" t="e">
        <f>($O48+Y48)*EXP(-($N48+Stoff!$M48*365)*V48)</f>
        <v>#VALUE!</v>
      </c>
      <c r="AB48" s="290" t="e">
        <f>(Stoff!$P48*$O48+Z48)*EXP(-('1a. Spredningsmodell input'!$B$46)*V48)</f>
        <v>#VALUE!</v>
      </c>
      <c r="AC48" s="292" t="e">
        <f>((AA48+AB48)*1000000000)/('1a. Spredningsmodell input'!$B$45*1000)</f>
        <v>#VALUE!</v>
      </c>
      <c r="AD48" s="294" t="e">
        <f>0.001*AC48/('1a. Spredningsmodell input'!$C$25+'1a. Spredningsmodell input'!$C$26/Mellomregninger!$K48)</f>
        <v>#VALUE!</v>
      </c>
      <c r="AE48" s="294" t="e">
        <f>1000*AD48/$K48+AB48*1000000000/('1a. Spredningsmodell input'!$B$45*1000)</f>
        <v>#VALUE!</v>
      </c>
      <c r="AF48" s="294" t="e">
        <f t="shared" si="0"/>
        <v>#VALUE!</v>
      </c>
      <c r="AG48" s="294" t="e">
        <f>AB48*1000000000/('1a. Spredningsmodell input'!$B$45*1000)</f>
        <v>#VALUE!</v>
      </c>
      <c r="AH48" s="300" t="e">
        <f>(1/('1a. Spredningsmodell input'!$B$46))*(LN(($D48*Stoff!$P48/($D48*Stoff!$P48+$P48*Stoff!$P48))*('1a. Spredningsmodell input'!$B$43+'1a. Spredningsmodell input'!$B$46)/('1a. Spredningsmodell input'!$B$46)))</f>
        <v>#VALUE!</v>
      </c>
      <c r="AI48" s="290" t="e">
        <f>($D48-Stoff!$P48*$D48)*EXP(-($F48+Stoff!$L48*365)*AH48)</f>
        <v>#VALUE!</v>
      </c>
      <c r="AJ48" s="291" t="e">
        <f>(Stoff!$P48*$D48)*EXP(-'1a. Spredningsmodell input'!$B$43*AH48)</f>
        <v>#VALUE!</v>
      </c>
      <c r="AK48" s="290" t="e">
        <f>($D48-Stoff!$P48*$D48-AI48)*($F48/($F48+Stoff!$L48*365))</f>
        <v>#VALUE!</v>
      </c>
      <c r="AL48" s="290" t="e">
        <f>(Stoff!$P48*$D48)-AJ48</f>
        <v>#VALUE!</v>
      </c>
      <c r="AM48" s="290" t="e">
        <f>($O48+AK48)*EXP(-($N48+Stoff!$M48*365)*AH48)</f>
        <v>#VALUE!</v>
      </c>
      <c r="AN48" s="290" t="e">
        <f>(Stoff!$P48*$O48+AL48)*EXP(-('1a. Spredningsmodell input'!$B$46)*AH48)</f>
        <v>#VALUE!</v>
      </c>
      <c r="AO48" s="292" t="e">
        <f>((AM48+AN48)*1000000000)/('1a. Spredningsmodell input'!$B$45*1000)</f>
        <v>#VALUE!</v>
      </c>
      <c r="AP48" s="294" t="e">
        <f>0.001*AO48/('1a. Spredningsmodell input'!$C$25+'1a. Spredningsmodell input'!$C$26/Mellomregninger!$K48)</f>
        <v>#VALUE!</v>
      </c>
      <c r="AQ48" s="294" t="e">
        <f>1000*AP48/$K48+AN48*1000000000/('1a. Spredningsmodell input'!$B$45*1000)</f>
        <v>#VALUE!</v>
      </c>
      <c r="AR48" s="294" t="e">
        <f t="shared" si="1"/>
        <v>#VALUE!</v>
      </c>
      <c r="AS48" s="294" t="e">
        <f>AN48*1000000000/('1a. Spredningsmodell input'!$B$45*1000)</f>
        <v>#VALUE!</v>
      </c>
      <c r="AT48" s="295">
        <f t="shared" si="25"/>
        <v>5</v>
      </c>
      <c r="AU48" s="290" t="e">
        <f>($D48-Stoff!$P48*$D48)*EXP(-($F48+Stoff!$L48*365)*AT48)</f>
        <v>#VALUE!</v>
      </c>
      <c r="AV48" s="291" t="e">
        <f>(Stoff!$P48*$D48)*EXP(-'1a. Spredningsmodell input'!$B$43*AT48)</f>
        <v>#VALUE!</v>
      </c>
      <c r="AW48" s="290" t="e">
        <f>($D48-Stoff!$P48*$D48-AU48)*($F48/($F48+Stoff!$L48*365))</f>
        <v>#VALUE!</v>
      </c>
      <c r="AX48" s="290" t="e">
        <f>(Stoff!$P48*$D48)-AV48</f>
        <v>#VALUE!</v>
      </c>
      <c r="AY48" s="290" t="e">
        <f>($O48+AW48)*EXP(-($N48+Stoff!$M48*365)*AT48)</f>
        <v>#VALUE!</v>
      </c>
      <c r="AZ48" s="290" t="e">
        <f>(Stoff!$P48*$O48+AX48)*EXP(-('1a. Spredningsmodell input'!$B$46)*AT48)</f>
        <v>#VALUE!</v>
      </c>
      <c r="BA48" s="292" t="e">
        <f>((AY48+AZ48)*1000000000)/('1a. Spredningsmodell input'!$B$45*1000)</f>
        <v>#VALUE!</v>
      </c>
      <c r="BB48" s="294" t="e">
        <f>0.001*BA48/('1a. Spredningsmodell input'!$C$25+'1a. Spredningsmodell input'!$C$26/Mellomregninger!$K48)</f>
        <v>#VALUE!</v>
      </c>
      <c r="BC48" s="294" t="e">
        <f>1000*BB48/$K48+AZ48*1000000000/('1a. Spredningsmodell input'!$B$45*1000)</f>
        <v>#VALUE!</v>
      </c>
      <c r="BD48" s="294" t="e">
        <f t="shared" si="2"/>
        <v>#VALUE!</v>
      </c>
      <c r="BE48" s="294" t="e">
        <f>AZ48*1000000000/('1a. Spredningsmodell input'!$B$45*1000)</f>
        <v>#VALUE!</v>
      </c>
      <c r="BF48" s="295">
        <f t="shared" si="26"/>
        <v>20</v>
      </c>
      <c r="BG48" s="290" t="e">
        <f>($D48-Stoff!$P48*$D48)*EXP(-($F48+Stoff!$L48*365)*BF48)</f>
        <v>#VALUE!</v>
      </c>
      <c r="BH48" s="291" t="e">
        <f>(Stoff!$P48*$D48)*EXP(-'1a. Spredningsmodell input'!$B$43*BF48)</f>
        <v>#VALUE!</v>
      </c>
      <c r="BI48" s="290" t="e">
        <f>($D48-Stoff!$P48*$D48-BG48)*($F48/($F48+Stoff!$L48*365))</f>
        <v>#VALUE!</v>
      </c>
      <c r="BJ48" s="290" t="e">
        <f>(Stoff!$P48*$D48)-BH48</f>
        <v>#VALUE!</v>
      </c>
      <c r="BK48" s="290" t="e">
        <f>($O48+BI48)*EXP(-($N48+Stoff!$M48*365)*BF48)</f>
        <v>#VALUE!</v>
      </c>
      <c r="BL48" s="290" t="e">
        <f>(Stoff!$P48*$O48+BJ48)*EXP(-('1a. Spredningsmodell input'!$B$46)*BF48)</f>
        <v>#VALUE!</v>
      </c>
      <c r="BM48" s="292" t="e">
        <f>((BK48+BL48)*1000000000)/('1a. Spredningsmodell input'!$B$45*1000)</f>
        <v>#VALUE!</v>
      </c>
      <c r="BN48" s="294" t="e">
        <f>0.001*BM48/('1a. Spredningsmodell input'!$C$25+'1a. Spredningsmodell input'!$C$26/Mellomregninger!$K48)</f>
        <v>#VALUE!</v>
      </c>
      <c r="BO48" s="294" t="e">
        <f>1000*BN48/$K48+BL48*1000000000/('1a. Spredningsmodell input'!$B$45*1000)</f>
        <v>#VALUE!</v>
      </c>
      <c r="BP48" s="294" t="e">
        <f t="shared" si="3"/>
        <v>#VALUE!</v>
      </c>
      <c r="BQ48" s="294" t="e">
        <f>BL48*1000000000/('1a. Spredningsmodell input'!$B$45*1000)</f>
        <v>#VALUE!</v>
      </c>
      <c r="BR48" s="295">
        <f t="shared" si="27"/>
        <v>100</v>
      </c>
      <c r="BS48" s="290" t="e">
        <f>($D48-Stoff!$P48*$D48)*EXP(-($F48+Stoff!$L48*365)*BR48)</f>
        <v>#VALUE!</v>
      </c>
      <c r="BT48" s="291" t="e">
        <f>(Stoff!$P48*$D48)*EXP(-'1a. Spredningsmodell input'!$B$43*BR48)</f>
        <v>#VALUE!</v>
      </c>
      <c r="BU48" s="290" t="e">
        <f>($D48-Stoff!$P48*$D48-BS48)*($F48/($F48+Stoff!$L48*365))</f>
        <v>#VALUE!</v>
      </c>
      <c r="BV48" s="290" t="e">
        <f>(Stoff!$P48*$D48)-BT48</f>
        <v>#VALUE!</v>
      </c>
      <c r="BW48" s="290" t="e">
        <f>($O48+BU48)*EXP(-($N48+Stoff!$M48*365)*BR48)</f>
        <v>#VALUE!</v>
      </c>
      <c r="BX48" s="290" t="e">
        <f>(Stoff!$P48*$O48+BV48)*EXP(-('1a. Spredningsmodell input'!$B$46)*BR48)</f>
        <v>#VALUE!</v>
      </c>
      <c r="BY48" s="292" t="e">
        <f>((BW48+BX48)*1000000000)/('1a. Spredningsmodell input'!$B$45*1000)</f>
        <v>#VALUE!</v>
      </c>
      <c r="BZ48" s="294" t="e">
        <f>0.001*BY48/('1a. Spredningsmodell input'!$C$25+'1a. Spredningsmodell input'!$C$26/Mellomregninger!$K48)</f>
        <v>#VALUE!</v>
      </c>
      <c r="CA48" s="294" t="e">
        <f>1000*BZ48/$K48+BX48*1000000000/('1a. Spredningsmodell input'!$B$45*1000)</f>
        <v>#VALUE!</v>
      </c>
      <c r="CB48" s="294" t="e">
        <f t="shared" si="4"/>
        <v>#VALUE!</v>
      </c>
      <c r="CC48" s="294" t="e">
        <f>BX48*1000000000/('1a. Spredningsmodell input'!$B$45*1000)</f>
        <v>#VALUE!</v>
      </c>
      <c r="CD48" s="294" t="e">
        <f>V48+'1a. Spredningsmodell input'!$C$35</f>
        <v>#VALUE!</v>
      </c>
      <c r="CE48" s="294" t="e">
        <f>($S48+$Q48*($O48+$I48*($D48*(1-Stoff!$P48))*(1-EXP(-($F48+Stoff!$L48*365)*CD48)))*(1-EXP(-($N48+Stoff!$M48*365)*CD48)))</f>
        <v>#VALUE!</v>
      </c>
      <c r="CF48" s="294" t="e">
        <f t="shared" si="5"/>
        <v>#VALUE!</v>
      </c>
      <c r="CG48" s="296" t="e">
        <f>(CF48/1000000)*'1a. Spredningsmodell input'!$B$49*'1a. Spredningsmodell input'!$C$35</f>
        <v>#VALUE!</v>
      </c>
      <c r="CH48" s="294" t="e">
        <f t="shared" si="17"/>
        <v>#VALUE!</v>
      </c>
      <c r="CI48" s="290" t="e">
        <f>(CH48/1000000)*'1a. Spredningsmodell input'!$B$49*'1a. Spredningsmodell input'!$C$35</f>
        <v>#VALUE!</v>
      </c>
      <c r="CJ48" s="297" t="e">
        <f>($S48)*EXP(-(Stoff!$N48*365+$U48)*CD48)+CG48</f>
        <v>#VALUE!</v>
      </c>
      <c r="CK48" s="297" t="e">
        <f>(Stoff!$P48*$S48+CI48)*EXP(-$T48*CD48)</f>
        <v>#VALUE!</v>
      </c>
      <c r="CL48" s="297" t="e">
        <f>(CJ48+CK48)*1000000000/('1a. Spredningsmodell input'!$C$36*1000)</f>
        <v>#VALUE!</v>
      </c>
      <c r="CM48" s="297" t="e">
        <f>$G48*(1-EXP(-'1a. Spredningsmodell input'!$B$43*Mellomregninger!CD48))*(1-EXP(-'1a. Spredningsmodell input'!$B$46*Mellomregninger!CD48))</f>
        <v>#VALUE!</v>
      </c>
      <c r="CN48" s="297"/>
      <c r="CO48" s="297"/>
      <c r="CP48" s="290">
        <f>IF(ISNUMBER(AH48),AH48+'1a. Spredningsmodell input'!$C$35,'1a. Spredningsmodell input'!$C$35)</f>
        <v>1</v>
      </c>
      <c r="CQ48" s="294" t="e">
        <f>($S48+$Q48*($O48+$I48*($D48*(1-Stoff!$P48))*(1-EXP(-($F48+Stoff!$L48*365)*CP48)))*(1-EXP(-($N48+Stoff!$M48*365)*CP48)))</f>
        <v>#VALUE!</v>
      </c>
      <c r="CR48" s="294" t="e">
        <f t="shared" si="6"/>
        <v>#VALUE!</v>
      </c>
      <c r="CS48" s="296" t="e">
        <f>(CR48/1000000)*('1a. Spredningsmodell input'!$B$49*'1a. Spredningsmodell input'!$C$35)</f>
        <v>#VALUE!</v>
      </c>
      <c r="CT48" s="294" t="e">
        <f t="shared" si="7"/>
        <v>#VALUE!</v>
      </c>
      <c r="CU48" s="290" t="e">
        <f>(CT48/1000000)*('1a. Spredningsmodell input'!$B$49)*'1a. Spredningsmodell input'!$C$35</f>
        <v>#VALUE!</v>
      </c>
      <c r="CV48" s="297" t="e">
        <f>($S48)*EXP(-(Stoff!$N48*365+$U48)*CP48)+CS48</f>
        <v>#VALUE!</v>
      </c>
      <c r="CW48" s="297" t="e">
        <f>(Stoff!$P48*$S48+CU48)*EXP(-$T48*CP48)</f>
        <v>#VALUE!</v>
      </c>
      <c r="CX48" s="297">
        <f>IF(ISERROR(CV48),0,(CV48+CW48)*1000000000/('1a. Spredningsmodell input'!$C$36*1000))</f>
        <v>0</v>
      </c>
      <c r="CY48" s="297" t="e">
        <f>$G48*(1-EXP(-'1a. Spredningsmodell input'!$B$43*Mellomregninger!CP48))*(1-EXP(-'1a. Spredningsmodell input'!$B$46*Mellomregninger!CP48))</f>
        <v>#VALUE!</v>
      </c>
      <c r="CZ48" s="297"/>
      <c r="DA48" s="297"/>
      <c r="DB48" s="262">
        <f t="shared" si="28"/>
        <v>5</v>
      </c>
      <c r="DC48" s="298" t="e">
        <f>($S48+$Q48*($O48+$I48*($D48*(1-Stoff!$P48))*(1-EXP(-($F48+Stoff!$L48*365)*DB48)))*(1-EXP(-($N48+Stoff!$M48*365)*DB48)))</f>
        <v>#VALUE!</v>
      </c>
      <c r="DD48" s="294" t="e">
        <f t="shared" si="8"/>
        <v>#VALUE!</v>
      </c>
      <c r="DE48" s="296" t="e">
        <f>(DD48/1000000)*('1a. Spredningsmodell input'!$B$49)*'1a. Spredningsmodell input'!$C$35</f>
        <v>#VALUE!</v>
      </c>
      <c r="DF48" s="294" t="e">
        <f t="shared" si="19"/>
        <v>#VALUE!</v>
      </c>
      <c r="DG48" s="290" t="e">
        <f>(DF48/1000000)*('1a. Spredningsmodell input'!$B$49)*'1a. Spredningsmodell input'!$C$35</f>
        <v>#VALUE!</v>
      </c>
      <c r="DH48" s="297" t="e">
        <f>($S48)*EXP(-(Stoff!$N48*365+$U48)*DB48)+DE48</f>
        <v>#VALUE!</v>
      </c>
      <c r="DI48" s="297" t="e">
        <f>(Stoff!$P48*$S48+DG48)*EXP(-$T48*DB48)</f>
        <v>#VALUE!</v>
      </c>
      <c r="DJ48" s="297" t="e">
        <f>(DH48+DI48)*1000000000/('1a. Spredningsmodell input'!$C$36*1000)</f>
        <v>#VALUE!</v>
      </c>
      <c r="DK48" s="297" t="e">
        <f>$G48*(1-EXP(-'1a. Spredningsmodell input'!$B$43*Mellomregninger!DB48))*(1-EXP(-'1a. Spredningsmodell input'!$B$46*Mellomregninger!DB48))</f>
        <v>#VALUE!</v>
      </c>
      <c r="DL48" s="297"/>
      <c r="DM48" s="297"/>
      <c r="DN48" s="262">
        <f t="shared" si="29"/>
        <v>20</v>
      </c>
      <c r="DO48" s="298" t="e">
        <f>($S48+$Q48*($O48+$I48*($D48*(1-Stoff!$P48))*(1-EXP(-($F48+Stoff!$L48*365)*DN48)))*(1-EXP(-($N48+Stoff!$M48*365)*DN48)))</f>
        <v>#VALUE!</v>
      </c>
      <c r="DP48" s="294" t="e">
        <f t="shared" si="21"/>
        <v>#VALUE!</v>
      </c>
      <c r="DQ48" s="296" t="e">
        <f>(DP48/1000000)*('1a. Spredningsmodell input'!$B$49)*'1a. Spredningsmodell input'!$C$35</f>
        <v>#VALUE!</v>
      </c>
      <c r="DR48" s="294" t="e">
        <f t="shared" si="9"/>
        <v>#VALUE!</v>
      </c>
      <c r="DS48" s="290" t="e">
        <f>(DR48/1000000)*('1a. Spredningsmodell input'!$B$49)*'1a. Spredningsmodell input'!$C$35</f>
        <v>#VALUE!</v>
      </c>
      <c r="DT48" s="297" t="e">
        <f>($S48)*EXP(-(Stoff!$N48*365+$U48)*DN48)+DQ48</f>
        <v>#VALUE!</v>
      </c>
      <c r="DU48" s="297" t="e">
        <f>(Stoff!$P48*$S48+DS48)*EXP(-$T48*DN48)</f>
        <v>#VALUE!</v>
      </c>
      <c r="DV48" s="297" t="e">
        <f>(DT48+DU48)*1000000000/('1a. Spredningsmodell input'!$C$36*1000)</f>
        <v>#VALUE!</v>
      </c>
      <c r="DW48" s="297" t="e">
        <f>$G48*(1-EXP(-'1a. Spredningsmodell input'!$B$43*Mellomregninger!DN48))*(1-EXP(-'1a. Spredningsmodell input'!$B$46*Mellomregninger!DN48))</f>
        <v>#VALUE!</v>
      </c>
      <c r="DX48" s="297"/>
      <c r="DY48" s="297"/>
      <c r="DZ48" s="262">
        <f t="shared" si="30"/>
        <v>100</v>
      </c>
      <c r="EA48" s="298" t="e">
        <f>($S48+$Q48*($O48+$I48*($D48*(1-Stoff!$P48))*(1-EXP(-($F48+Stoff!$L48*365)*DZ48)))*(1-EXP(-($N48+Stoff!$M48*365)*DZ48)))</f>
        <v>#VALUE!</v>
      </c>
      <c r="EB48" s="294" t="e">
        <f t="shared" si="10"/>
        <v>#VALUE!</v>
      </c>
      <c r="EC48" s="296" t="e">
        <f>(EB48/1000000)*('1a. Spredningsmodell input'!$B$49)*'1a. Spredningsmodell input'!$C$35</f>
        <v>#VALUE!</v>
      </c>
      <c r="ED48" s="294" t="e">
        <f t="shared" si="11"/>
        <v>#VALUE!</v>
      </c>
      <c r="EE48" s="290" t="e">
        <f>(ED48/1000000)*('1a. Spredningsmodell input'!$B$49)*'1a. Spredningsmodell input'!$C$35</f>
        <v>#VALUE!</v>
      </c>
      <c r="EF48" s="297" t="e">
        <f>($S48)*EXP(-(Stoff!$N48*365+$U48)*DZ48)+EC48</f>
        <v>#VALUE!</v>
      </c>
      <c r="EG48" s="297" t="e">
        <f>(Stoff!$P48*$S48+EE48)*EXP(-$T48*DZ48)</f>
        <v>#VALUE!</v>
      </c>
      <c r="EH48" s="297" t="e">
        <f>(EF48+EG48)*1000000000/('1a. Spredningsmodell input'!$C$36*1000)</f>
        <v>#VALUE!</v>
      </c>
      <c r="EI48" s="297" t="e">
        <f>$G48*(1-EXP(-'1a. Spredningsmodell input'!$B$43*Mellomregninger!DZ48))*(1-EXP(-'1a. Spredningsmodell input'!$B$46*Mellomregninger!DZ48))</f>
        <v>#VALUE!</v>
      </c>
      <c r="EJ48" s="297"/>
      <c r="EK48" s="297"/>
      <c r="EL48" s="262">
        <f t="shared" si="31"/>
        <v>1.0000000000000001E+25</v>
      </c>
      <c r="EM48" s="294" t="e">
        <f>($S48+$Q48*($O48+$I48*($D48*(1-Stoff!$P48))*(1-EXP(-($F48+Stoff!$L48*365)*EL48)))*(1-EXP(-($N48+Stoff!$M48*365)*EL48)))</f>
        <v>#VALUE!</v>
      </c>
      <c r="EN48" s="296" t="e">
        <f>($S48+$Q48*($O48+$I48*($D48*(1-Stoff!$P48))*(1-EXP(-($F48+Stoff!$L48*365)*(EL48-'1a. Spredningsmodell input'!$C$35))))*(1-EXP(-($N48+Stoff!$M48*365)*(EL48-'1a. Spredningsmodell input'!$C$35))))</f>
        <v>#VALUE!</v>
      </c>
      <c r="EO48" s="294" t="e">
        <f>IF(EL48&lt;'1a. Spredningsmodell input'!$C$35,EM48-($S48)*EXP(-(Stoff!$N48*365+$U48)*EL48),EM48-EN48)</f>
        <v>#VALUE!</v>
      </c>
      <c r="EP48" s="290" t="e">
        <f>((($D48*(Stoff!$P48))*(1-EXP(-'1a. Spredningsmodell input'!$B$43*EL48)))*(1-EXP(-'1a. Spredningsmodell input'!$B$46*EL48)))</f>
        <v>#VALUE!</v>
      </c>
      <c r="EQ48" s="294" t="e">
        <f>((($D48*(Stoff!$P48))*(1-EXP(-'1a. Spredningsmodell input'!$B$43*(EL48-'1a. Spredningsmodell input'!$C$35))))*(1-EXP(-'1a. Spredningsmodell input'!$B$46*(EL48-'1a. Spredningsmodell input'!$C$35))))</f>
        <v>#VALUE!</v>
      </c>
      <c r="ER48" s="290" t="e">
        <f>IF(EL48&lt;'1a. Spredningsmodell input'!$C$35,0,EP48-EQ48)</f>
        <v>#VALUE!</v>
      </c>
      <c r="ES48" s="297" t="e">
        <f>($S48)*EXP(-(Stoff!$N48*365+$U48)*EL48)+EO48</f>
        <v>#VALUE!</v>
      </c>
      <c r="ET48" s="297" t="e">
        <f>(Stoff!$P48*$S48+ER48)*EXP(-$T48*EL48)</f>
        <v>#VALUE!</v>
      </c>
      <c r="EU48" s="297" t="e">
        <f>(ES48+ET48)*1000000000/('1a. Spredningsmodell input'!$C$36*1000)</f>
        <v>#VALUE!</v>
      </c>
      <c r="EV48" s="262" t="e">
        <f t="shared" si="32"/>
        <v>#VALUE!</v>
      </c>
      <c r="EW48" s="299" t="e">
        <f t="shared" si="33"/>
        <v>#VALUE!</v>
      </c>
      <c r="EX48" s="262" t="e">
        <f t="shared" si="34"/>
        <v>#VALUE!</v>
      </c>
    </row>
    <row r="49" spans="1:154" x14ac:dyDescent="0.35">
      <c r="A49" s="50" t="s">
        <v>161</v>
      </c>
      <c r="B49" s="34" t="str">
        <f>IF(ISNUMBER('1c. Kons. porevann'!E49),1000*'1c. Kons. porevann'!E49,IF(ISNUMBER('1b. Kons. umettet jord'!E49),1000*'1b. Kons. umettet jord'!E49/C49,""))</f>
        <v/>
      </c>
      <c r="C49" s="244">
        <f>IF(Stoff!B49="uorganisk",Stoff!C49,Stoff!D49*'1a. Spredningsmodell input'!$C$11)</f>
        <v>3981.07</v>
      </c>
      <c r="D49" s="34" t="str">
        <f>IF(ISNUMBER(B49),0.000001*('1b. Kons. umettet jord'!G49*'1a. Spredningsmodell input'!$C$12+B49*0.001*'1a. Spredningsmodell input'!$C$14)*1000*'1a. Spredningsmodell input'!$B$41*'1a. Spredningsmodell input'!$C$18,"")</f>
        <v/>
      </c>
      <c r="E49" s="283">
        <f>C49*'1a. Spredningsmodell input'!$C$12/'1a. Spredningsmodell input'!$C$14+1</f>
        <v>33840.095000000001</v>
      </c>
      <c r="F49" s="284">
        <f>'1a. Spredningsmodell input'!$B$43/E49</f>
        <v>4.4326116696776403E-5</v>
      </c>
      <c r="G49" s="34" t="e">
        <f>Stoff!P49*Mellomregninger!D49</f>
        <v>#VALUE!</v>
      </c>
      <c r="H49" s="283" t="e">
        <f>(D49-G49)*(F49/(F49+Stoff!L49))</f>
        <v>#VALUE!</v>
      </c>
      <c r="I49" s="283">
        <f>F49/(F49+Stoff!L49)</f>
        <v>1</v>
      </c>
      <c r="J49" s="285" t="str">
        <f>IF(B49="","",IF(ISNUMBER('1d. Kons. mettet sone'!E49),'1d. Kons. mettet sone'!E49,IF(ISNUMBER('1e. Kons. grunnvann'!E49),'1e. Kons. grunnvann'!E49*Mellomregninger!K49,0)))</f>
        <v/>
      </c>
      <c r="K49" s="286">
        <f>IF(Stoff!B49="uorganisk",Stoff!C49,Stoff!D49*'1a. Spredningsmodell input'!$C$24)</f>
        <v>398.10700000000003</v>
      </c>
      <c r="L49" s="27" t="e">
        <f>IF(ISNUMBER('1e. Kons. grunnvann'!E49),1000*'1e. Kons. grunnvann'!E49,1000*J49/K49)</f>
        <v>#VALUE!</v>
      </c>
      <c r="M49" s="34">
        <f>K49*'1a. Spredningsmodell input'!$C$25/'1a. Spredningsmodell input'!$C$26+1</f>
        <v>1692.9547500000001</v>
      </c>
      <c r="N49" s="284">
        <f>'1a. Spredningsmodell input'!$C$26/M49</f>
        <v>2.3627329673164626E-4</v>
      </c>
      <c r="O49" s="287" t="e">
        <f>0.000000001*(J49*'1a. Spredningsmodell input'!$C$25+L49)*1000*'1a. Spredningsmodell input'!$B$45</f>
        <v>#VALUE!</v>
      </c>
      <c r="P49" s="287" t="e">
        <f>O49*Stoff!P49</f>
        <v>#VALUE!</v>
      </c>
      <c r="Q49" s="287">
        <f>N49/(N49+Stoff!M49)</f>
        <v>1</v>
      </c>
      <c r="R49" s="288">
        <f>IF(ISNUMBER('1f. Kons. resipient'!E49),'1f. Kons. resipient'!E49,0)</f>
        <v>0</v>
      </c>
      <c r="S49" s="288">
        <f>0.000000001*'1a. Spredningsmodell input'!$C$36*R49*1000</f>
        <v>0</v>
      </c>
      <c r="T49" s="288">
        <f>1/'1a. Spredningsmodell input'!$C$35</f>
        <v>1</v>
      </c>
      <c r="U49" s="288">
        <f>1/'1a. Spredningsmodell input'!$C$35</f>
        <v>1</v>
      </c>
      <c r="V49" s="300" t="e">
        <f>(1/($N49+Stoff!$L49))*(LN(($D49*$I49/($D49*$I49+$J49))*($F49+Stoff!$L49+$N49+Stoff!$M49)/($N49+Stoff!$M49)))</f>
        <v>#VALUE!</v>
      </c>
      <c r="W49" s="290" t="e">
        <f>($D49-Stoff!$P49*$D49)*EXP(-($F49+Stoff!$L49*365)*V49)</f>
        <v>#VALUE!</v>
      </c>
      <c r="X49" s="291" t="e">
        <f>(Stoff!$P49*$D49)*EXP(-'1a. Spredningsmodell input'!$B$43*V49)</f>
        <v>#VALUE!</v>
      </c>
      <c r="Y49" s="290" t="e">
        <f>($D49-Stoff!$P49*$D49-W49)*($F49/($F49+Stoff!$L49*365))</f>
        <v>#VALUE!</v>
      </c>
      <c r="Z49" s="290" t="e">
        <f>(Stoff!$P49*$D49)-X49</f>
        <v>#VALUE!</v>
      </c>
      <c r="AA49" s="290" t="e">
        <f>($O49+Y49)*EXP(-($N49+Stoff!$M49*365)*V49)</f>
        <v>#VALUE!</v>
      </c>
      <c r="AB49" s="290" t="e">
        <f>(Stoff!$P49*$O49+Z49)*EXP(-('1a. Spredningsmodell input'!$B$46)*V49)</f>
        <v>#VALUE!</v>
      </c>
      <c r="AC49" s="292" t="e">
        <f>((AA49+AB49)*1000000000)/('1a. Spredningsmodell input'!$B$45*1000)</f>
        <v>#VALUE!</v>
      </c>
      <c r="AD49" s="294" t="e">
        <f>0.001*AC49/('1a. Spredningsmodell input'!$C$25+'1a. Spredningsmodell input'!$C$26/Mellomregninger!$K49)</f>
        <v>#VALUE!</v>
      </c>
      <c r="AE49" s="294" t="e">
        <f>1000*AD49/$K49+AB49*1000000000/('1a. Spredningsmodell input'!$B$45*1000)</f>
        <v>#VALUE!</v>
      </c>
      <c r="AF49" s="294" t="e">
        <f t="shared" si="0"/>
        <v>#VALUE!</v>
      </c>
      <c r="AG49" s="294" t="e">
        <f>AB49*1000000000/('1a. Spredningsmodell input'!$B$45*1000)</f>
        <v>#VALUE!</v>
      </c>
      <c r="AH49" s="300" t="e">
        <f>(1/('1a. Spredningsmodell input'!$B$46))*(LN(($D49*Stoff!$P49/($D49*Stoff!$P49+$P49*Stoff!$P49))*('1a. Spredningsmodell input'!$B$43+'1a. Spredningsmodell input'!$B$46)/('1a. Spredningsmodell input'!$B$46)))</f>
        <v>#VALUE!</v>
      </c>
      <c r="AI49" s="290" t="e">
        <f>($D49-Stoff!$P49*$D49)*EXP(-($F49+Stoff!$L49*365)*AH49)</f>
        <v>#VALUE!</v>
      </c>
      <c r="AJ49" s="291" t="e">
        <f>(Stoff!$P49*$D49)*EXP(-'1a. Spredningsmodell input'!$B$43*AH49)</f>
        <v>#VALUE!</v>
      </c>
      <c r="AK49" s="290" t="e">
        <f>($D49-Stoff!$P49*$D49-AI49)*($F49/($F49+Stoff!$L49*365))</f>
        <v>#VALUE!</v>
      </c>
      <c r="AL49" s="290" t="e">
        <f>(Stoff!$P49*$D49)-AJ49</f>
        <v>#VALUE!</v>
      </c>
      <c r="AM49" s="290" t="e">
        <f>($O49+AK49)*EXP(-($N49+Stoff!$M49*365)*AH49)</f>
        <v>#VALUE!</v>
      </c>
      <c r="AN49" s="290" t="e">
        <f>(Stoff!$P49*$O49+AL49)*EXP(-('1a. Spredningsmodell input'!$B$46)*AH49)</f>
        <v>#VALUE!</v>
      </c>
      <c r="AO49" s="292" t="e">
        <f>((AM49+AN49)*1000000000)/('1a. Spredningsmodell input'!$B$45*1000)</f>
        <v>#VALUE!</v>
      </c>
      <c r="AP49" s="294" t="e">
        <f>0.001*AO49/('1a. Spredningsmodell input'!$C$25+'1a. Spredningsmodell input'!$C$26/Mellomregninger!$K49)</f>
        <v>#VALUE!</v>
      </c>
      <c r="AQ49" s="294" t="e">
        <f>1000*AP49/$K49+AN49*1000000000/('1a. Spredningsmodell input'!$B$45*1000)</f>
        <v>#VALUE!</v>
      </c>
      <c r="AR49" s="294" t="e">
        <f t="shared" si="1"/>
        <v>#VALUE!</v>
      </c>
      <c r="AS49" s="294" t="e">
        <f>AN49*1000000000/('1a. Spredningsmodell input'!$B$45*1000)</f>
        <v>#VALUE!</v>
      </c>
      <c r="AT49" s="295">
        <f t="shared" si="25"/>
        <v>5</v>
      </c>
      <c r="AU49" s="290" t="e">
        <f>($D49-Stoff!$P49*$D49)*EXP(-($F49+Stoff!$L49*365)*AT49)</f>
        <v>#VALUE!</v>
      </c>
      <c r="AV49" s="291" t="e">
        <f>(Stoff!$P49*$D49)*EXP(-'1a. Spredningsmodell input'!$B$43*AT49)</f>
        <v>#VALUE!</v>
      </c>
      <c r="AW49" s="290" t="e">
        <f>($D49-Stoff!$P49*$D49-AU49)*($F49/($F49+Stoff!$L49*365))</f>
        <v>#VALUE!</v>
      </c>
      <c r="AX49" s="290" t="e">
        <f>(Stoff!$P49*$D49)-AV49</f>
        <v>#VALUE!</v>
      </c>
      <c r="AY49" s="290" t="e">
        <f>($O49+AW49)*EXP(-($N49+Stoff!$M49*365)*AT49)</f>
        <v>#VALUE!</v>
      </c>
      <c r="AZ49" s="290" t="e">
        <f>(Stoff!$P49*$O49+AX49)*EXP(-('1a. Spredningsmodell input'!$B$46)*AT49)</f>
        <v>#VALUE!</v>
      </c>
      <c r="BA49" s="292" t="e">
        <f>((AY49+AZ49)*1000000000)/('1a. Spredningsmodell input'!$B$45*1000)</f>
        <v>#VALUE!</v>
      </c>
      <c r="BB49" s="294" t="e">
        <f>0.001*BA49/('1a. Spredningsmodell input'!$C$25+'1a. Spredningsmodell input'!$C$26/Mellomregninger!$K49)</f>
        <v>#VALUE!</v>
      </c>
      <c r="BC49" s="294" t="e">
        <f>1000*BB49/$K49+AZ49*1000000000/('1a. Spredningsmodell input'!$B$45*1000)</f>
        <v>#VALUE!</v>
      </c>
      <c r="BD49" s="294" t="e">
        <f t="shared" si="2"/>
        <v>#VALUE!</v>
      </c>
      <c r="BE49" s="294" t="e">
        <f>AZ49*1000000000/('1a. Spredningsmodell input'!$B$45*1000)</f>
        <v>#VALUE!</v>
      </c>
      <c r="BF49" s="295">
        <f t="shared" si="26"/>
        <v>20</v>
      </c>
      <c r="BG49" s="290" t="e">
        <f>($D49-Stoff!$P49*$D49)*EXP(-($F49+Stoff!$L49*365)*BF49)</f>
        <v>#VALUE!</v>
      </c>
      <c r="BH49" s="291" t="e">
        <f>(Stoff!$P49*$D49)*EXP(-'1a. Spredningsmodell input'!$B$43*BF49)</f>
        <v>#VALUE!</v>
      </c>
      <c r="BI49" s="290" t="e">
        <f>($D49-Stoff!$P49*$D49-BG49)*($F49/($F49+Stoff!$L49*365))</f>
        <v>#VALUE!</v>
      </c>
      <c r="BJ49" s="290" t="e">
        <f>(Stoff!$P49*$D49)-BH49</f>
        <v>#VALUE!</v>
      </c>
      <c r="BK49" s="290" t="e">
        <f>($O49+BI49)*EXP(-($N49+Stoff!$M49*365)*BF49)</f>
        <v>#VALUE!</v>
      </c>
      <c r="BL49" s="290" t="e">
        <f>(Stoff!$P49*$O49+BJ49)*EXP(-('1a. Spredningsmodell input'!$B$46)*BF49)</f>
        <v>#VALUE!</v>
      </c>
      <c r="BM49" s="292" t="e">
        <f>((BK49+BL49)*1000000000)/('1a. Spredningsmodell input'!$B$45*1000)</f>
        <v>#VALUE!</v>
      </c>
      <c r="BN49" s="294" t="e">
        <f>0.001*BM49/('1a. Spredningsmodell input'!$C$25+'1a. Spredningsmodell input'!$C$26/Mellomregninger!$K49)</f>
        <v>#VALUE!</v>
      </c>
      <c r="BO49" s="294" t="e">
        <f>1000*BN49/$K49+BL49*1000000000/('1a. Spredningsmodell input'!$B$45*1000)</f>
        <v>#VALUE!</v>
      </c>
      <c r="BP49" s="294" t="e">
        <f t="shared" si="3"/>
        <v>#VALUE!</v>
      </c>
      <c r="BQ49" s="294" t="e">
        <f>BL49*1000000000/('1a. Spredningsmodell input'!$B$45*1000)</f>
        <v>#VALUE!</v>
      </c>
      <c r="BR49" s="295">
        <f t="shared" si="27"/>
        <v>100</v>
      </c>
      <c r="BS49" s="290" t="e">
        <f>($D49-Stoff!$P49*$D49)*EXP(-($F49+Stoff!$L49*365)*BR49)</f>
        <v>#VALUE!</v>
      </c>
      <c r="BT49" s="291" t="e">
        <f>(Stoff!$P49*$D49)*EXP(-'1a. Spredningsmodell input'!$B$43*BR49)</f>
        <v>#VALUE!</v>
      </c>
      <c r="BU49" s="290" t="e">
        <f>($D49-Stoff!$P49*$D49-BS49)*($F49/($F49+Stoff!$L49*365))</f>
        <v>#VALUE!</v>
      </c>
      <c r="BV49" s="290" t="e">
        <f>(Stoff!$P49*$D49)-BT49</f>
        <v>#VALUE!</v>
      </c>
      <c r="BW49" s="290" t="e">
        <f>($O49+BU49)*EXP(-($N49+Stoff!$M49*365)*BR49)</f>
        <v>#VALUE!</v>
      </c>
      <c r="BX49" s="290" t="e">
        <f>(Stoff!$P49*$O49+BV49)*EXP(-('1a. Spredningsmodell input'!$B$46)*BR49)</f>
        <v>#VALUE!</v>
      </c>
      <c r="BY49" s="292" t="e">
        <f>((BW49+BX49)*1000000000)/('1a. Spredningsmodell input'!$B$45*1000)</f>
        <v>#VALUE!</v>
      </c>
      <c r="BZ49" s="294" t="e">
        <f>0.001*BY49/('1a. Spredningsmodell input'!$C$25+'1a. Spredningsmodell input'!$C$26/Mellomregninger!$K49)</f>
        <v>#VALUE!</v>
      </c>
      <c r="CA49" s="294" t="e">
        <f>1000*BZ49/$K49+BX49*1000000000/('1a. Spredningsmodell input'!$B$45*1000)</f>
        <v>#VALUE!</v>
      </c>
      <c r="CB49" s="294" t="e">
        <f t="shared" si="4"/>
        <v>#VALUE!</v>
      </c>
      <c r="CC49" s="294" t="e">
        <f>BX49*1000000000/('1a. Spredningsmodell input'!$B$45*1000)</f>
        <v>#VALUE!</v>
      </c>
      <c r="CD49" s="294" t="e">
        <f>V49+'1a. Spredningsmodell input'!$C$35</f>
        <v>#VALUE!</v>
      </c>
      <c r="CE49" s="294" t="e">
        <f>($S49+$Q49*($O49+$I49*($D49*(1-Stoff!$P49))*(1-EXP(-($F49+Stoff!$L49*365)*CD49)))*(1-EXP(-($N49+Stoff!$M49*365)*CD49)))</f>
        <v>#VALUE!</v>
      </c>
      <c r="CF49" s="294" t="e">
        <f t="shared" si="5"/>
        <v>#VALUE!</v>
      </c>
      <c r="CG49" s="296" t="e">
        <f>(CF49/1000000)*'1a. Spredningsmodell input'!$B$49*'1a. Spredningsmodell input'!$C$35</f>
        <v>#VALUE!</v>
      </c>
      <c r="CH49" s="294" t="e">
        <f t="shared" si="17"/>
        <v>#VALUE!</v>
      </c>
      <c r="CI49" s="290" t="e">
        <f>(CH49/1000000)*'1a. Spredningsmodell input'!$B$49*'1a. Spredningsmodell input'!$C$35</f>
        <v>#VALUE!</v>
      </c>
      <c r="CJ49" s="297" t="e">
        <f>($S49)*EXP(-(Stoff!$N49*365+$U49)*CD49)+CG49</f>
        <v>#VALUE!</v>
      </c>
      <c r="CK49" s="297" t="e">
        <f>(Stoff!$P49*$S49+CI49)*EXP(-$T49*CD49)</f>
        <v>#VALUE!</v>
      </c>
      <c r="CL49" s="297" t="e">
        <f>(CJ49+CK49)*1000000000/('1a. Spredningsmodell input'!$C$36*1000)</f>
        <v>#VALUE!</v>
      </c>
      <c r="CM49" s="297" t="e">
        <f>$G49*(1-EXP(-'1a. Spredningsmodell input'!$B$43*Mellomregninger!CD49))*(1-EXP(-'1a. Spredningsmodell input'!$B$46*Mellomregninger!CD49))</f>
        <v>#VALUE!</v>
      </c>
      <c r="CN49" s="297"/>
      <c r="CO49" s="297"/>
      <c r="CP49" s="290">
        <f>IF(ISNUMBER(AH49),AH49+'1a. Spredningsmodell input'!$C$35,'1a. Spredningsmodell input'!$C$35)</f>
        <v>1</v>
      </c>
      <c r="CQ49" s="294" t="e">
        <f>($S49+$Q49*($O49+$I49*($D49*(1-Stoff!$P49))*(1-EXP(-($F49+Stoff!$L49*365)*CP49)))*(1-EXP(-($N49+Stoff!$M49*365)*CP49)))</f>
        <v>#VALUE!</v>
      </c>
      <c r="CR49" s="294" t="e">
        <f t="shared" si="6"/>
        <v>#VALUE!</v>
      </c>
      <c r="CS49" s="296" t="e">
        <f>(CR49/1000000)*('1a. Spredningsmodell input'!$B$49*'1a. Spredningsmodell input'!$C$35)</f>
        <v>#VALUE!</v>
      </c>
      <c r="CT49" s="294" t="e">
        <f t="shared" si="7"/>
        <v>#VALUE!</v>
      </c>
      <c r="CU49" s="290" t="e">
        <f>(CT49/1000000)*('1a. Spredningsmodell input'!$B$49)*'1a. Spredningsmodell input'!$C$35</f>
        <v>#VALUE!</v>
      </c>
      <c r="CV49" s="297" t="e">
        <f>($S49)*EXP(-(Stoff!$N49*365+$U49)*CP49)+CS49</f>
        <v>#VALUE!</v>
      </c>
      <c r="CW49" s="297" t="e">
        <f>(Stoff!$P49*$S49+CU49)*EXP(-$T49*CP49)</f>
        <v>#VALUE!</v>
      </c>
      <c r="CX49" s="297">
        <f>IF(ISERROR(CV49),0,(CV49+CW49)*1000000000/('1a. Spredningsmodell input'!$C$36*1000))</f>
        <v>0</v>
      </c>
      <c r="CY49" s="297" t="e">
        <f>$G49*(1-EXP(-'1a. Spredningsmodell input'!$B$43*Mellomregninger!CP49))*(1-EXP(-'1a. Spredningsmodell input'!$B$46*Mellomregninger!CP49))</f>
        <v>#VALUE!</v>
      </c>
      <c r="CZ49" s="297"/>
      <c r="DA49" s="297"/>
      <c r="DB49" s="262">
        <f t="shared" si="28"/>
        <v>5</v>
      </c>
      <c r="DC49" s="298" t="e">
        <f>($S49+$Q49*($O49+$I49*($D49*(1-Stoff!$P49))*(1-EXP(-($F49+Stoff!$L49*365)*DB49)))*(1-EXP(-($N49+Stoff!$M49*365)*DB49)))</f>
        <v>#VALUE!</v>
      </c>
      <c r="DD49" s="294" t="e">
        <f t="shared" si="8"/>
        <v>#VALUE!</v>
      </c>
      <c r="DE49" s="296" t="e">
        <f>(DD49/1000000)*('1a. Spredningsmodell input'!$B$49)*'1a. Spredningsmodell input'!$C$35</f>
        <v>#VALUE!</v>
      </c>
      <c r="DF49" s="294" t="e">
        <f t="shared" si="19"/>
        <v>#VALUE!</v>
      </c>
      <c r="DG49" s="290" t="e">
        <f>(DF49/1000000)*('1a. Spredningsmodell input'!$B$49)*'1a. Spredningsmodell input'!$C$35</f>
        <v>#VALUE!</v>
      </c>
      <c r="DH49" s="297" t="e">
        <f>($S49)*EXP(-(Stoff!$N49*365+$U49)*DB49)+DE49</f>
        <v>#VALUE!</v>
      </c>
      <c r="DI49" s="297" t="e">
        <f>(Stoff!$P49*$S49+DG49)*EXP(-$T49*DB49)</f>
        <v>#VALUE!</v>
      </c>
      <c r="DJ49" s="297" t="e">
        <f>(DH49+DI49)*1000000000/('1a. Spredningsmodell input'!$C$36*1000)</f>
        <v>#VALUE!</v>
      </c>
      <c r="DK49" s="297" t="e">
        <f>$G49*(1-EXP(-'1a. Spredningsmodell input'!$B$43*Mellomregninger!DB49))*(1-EXP(-'1a. Spredningsmodell input'!$B$46*Mellomregninger!DB49))</f>
        <v>#VALUE!</v>
      </c>
      <c r="DL49" s="297"/>
      <c r="DM49" s="297"/>
      <c r="DN49" s="262">
        <f t="shared" si="29"/>
        <v>20</v>
      </c>
      <c r="DO49" s="298" t="e">
        <f>($S49+$Q49*($O49+$I49*($D49*(1-Stoff!$P49))*(1-EXP(-($F49+Stoff!$L49*365)*DN49)))*(1-EXP(-($N49+Stoff!$M49*365)*DN49)))</f>
        <v>#VALUE!</v>
      </c>
      <c r="DP49" s="294" t="e">
        <f t="shared" si="21"/>
        <v>#VALUE!</v>
      </c>
      <c r="DQ49" s="296" t="e">
        <f>(DP49/1000000)*('1a. Spredningsmodell input'!$B$49)*'1a. Spredningsmodell input'!$C$35</f>
        <v>#VALUE!</v>
      </c>
      <c r="DR49" s="294" t="e">
        <f t="shared" si="9"/>
        <v>#VALUE!</v>
      </c>
      <c r="DS49" s="290" t="e">
        <f>(DR49/1000000)*('1a. Spredningsmodell input'!$B$49)*'1a. Spredningsmodell input'!$C$35</f>
        <v>#VALUE!</v>
      </c>
      <c r="DT49" s="297" t="e">
        <f>($S49)*EXP(-(Stoff!$N49*365+$U49)*DN49)+DQ49</f>
        <v>#VALUE!</v>
      </c>
      <c r="DU49" s="297" t="e">
        <f>(Stoff!$P49*$S49+DS49)*EXP(-$T49*DN49)</f>
        <v>#VALUE!</v>
      </c>
      <c r="DV49" s="297" t="e">
        <f>(DT49+DU49)*1000000000/('1a. Spredningsmodell input'!$C$36*1000)</f>
        <v>#VALUE!</v>
      </c>
      <c r="DW49" s="297" t="e">
        <f>$G49*(1-EXP(-'1a. Spredningsmodell input'!$B$43*Mellomregninger!DN49))*(1-EXP(-'1a. Spredningsmodell input'!$B$46*Mellomregninger!DN49))</f>
        <v>#VALUE!</v>
      </c>
      <c r="DX49" s="297"/>
      <c r="DY49" s="297"/>
      <c r="DZ49" s="262">
        <f t="shared" si="30"/>
        <v>100</v>
      </c>
      <c r="EA49" s="298" t="e">
        <f>($S49+$Q49*($O49+$I49*($D49*(1-Stoff!$P49))*(1-EXP(-($F49+Stoff!$L49*365)*DZ49)))*(1-EXP(-($N49+Stoff!$M49*365)*DZ49)))</f>
        <v>#VALUE!</v>
      </c>
      <c r="EB49" s="294" t="e">
        <f t="shared" si="10"/>
        <v>#VALUE!</v>
      </c>
      <c r="EC49" s="296" t="e">
        <f>(EB49/1000000)*('1a. Spredningsmodell input'!$B$49)*'1a. Spredningsmodell input'!$C$35</f>
        <v>#VALUE!</v>
      </c>
      <c r="ED49" s="294" t="e">
        <f t="shared" si="11"/>
        <v>#VALUE!</v>
      </c>
      <c r="EE49" s="290" t="e">
        <f>(ED49/1000000)*('1a. Spredningsmodell input'!$B$49)*'1a. Spredningsmodell input'!$C$35</f>
        <v>#VALUE!</v>
      </c>
      <c r="EF49" s="297" t="e">
        <f>($S49)*EXP(-(Stoff!$N49*365+$U49)*DZ49)+EC49</f>
        <v>#VALUE!</v>
      </c>
      <c r="EG49" s="297" t="e">
        <f>(Stoff!$P49*$S49+EE49)*EXP(-$T49*DZ49)</f>
        <v>#VALUE!</v>
      </c>
      <c r="EH49" s="297" t="e">
        <f>(EF49+EG49)*1000000000/('1a. Spredningsmodell input'!$C$36*1000)</f>
        <v>#VALUE!</v>
      </c>
      <c r="EI49" s="297" t="e">
        <f>$G49*(1-EXP(-'1a. Spredningsmodell input'!$B$43*Mellomregninger!DZ49))*(1-EXP(-'1a. Spredningsmodell input'!$B$46*Mellomregninger!DZ49))</f>
        <v>#VALUE!</v>
      </c>
      <c r="EJ49" s="297"/>
      <c r="EK49" s="297"/>
      <c r="EL49" s="262">
        <f t="shared" si="31"/>
        <v>1.0000000000000001E+25</v>
      </c>
      <c r="EM49" s="294" t="e">
        <f>($S49+$Q49*($O49+$I49*($D49*(1-Stoff!$P49))*(1-EXP(-($F49+Stoff!$L49*365)*EL49)))*(1-EXP(-($N49+Stoff!$M49*365)*EL49)))</f>
        <v>#VALUE!</v>
      </c>
      <c r="EN49" s="296" t="e">
        <f>($S49+$Q49*($O49+$I49*($D49*(1-Stoff!$P49))*(1-EXP(-($F49+Stoff!$L49*365)*(EL49-'1a. Spredningsmodell input'!$C$35))))*(1-EXP(-($N49+Stoff!$M49*365)*(EL49-'1a. Spredningsmodell input'!$C$35))))</f>
        <v>#VALUE!</v>
      </c>
      <c r="EO49" s="294" t="e">
        <f>IF(EL49&lt;'1a. Spredningsmodell input'!$C$35,EM49-($S49)*EXP(-(Stoff!$N49*365+$U49)*EL49),EM49-EN49)</f>
        <v>#VALUE!</v>
      </c>
      <c r="EP49" s="290" t="e">
        <f>((($D49*(Stoff!$P49))*(1-EXP(-'1a. Spredningsmodell input'!$B$43*EL49)))*(1-EXP(-'1a. Spredningsmodell input'!$B$46*EL49)))</f>
        <v>#VALUE!</v>
      </c>
      <c r="EQ49" s="294" t="e">
        <f>((($D49*(Stoff!$P49))*(1-EXP(-'1a. Spredningsmodell input'!$B$43*(EL49-'1a. Spredningsmodell input'!$C$35))))*(1-EXP(-'1a. Spredningsmodell input'!$B$46*(EL49-'1a. Spredningsmodell input'!$C$35))))</f>
        <v>#VALUE!</v>
      </c>
      <c r="ER49" s="290" t="e">
        <f>IF(EL49&lt;'1a. Spredningsmodell input'!$C$35,0,EP49-EQ49)</f>
        <v>#VALUE!</v>
      </c>
      <c r="ES49" s="297" t="e">
        <f>($S49)*EXP(-(Stoff!$N49*365+$U49)*EL49)+EO49</f>
        <v>#VALUE!</v>
      </c>
      <c r="ET49" s="297" t="e">
        <f>(Stoff!$P49*$S49+ER49)*EXP(-$T49*EL49)</f>
        <v>#VALUE!</v>
      </c>
      <c r="EU49" s="297" t="e">
        <f>(ES49+ET49)*1000000000/('1a. Spredningsmodell input'!$C$36*1000)</f>
        <v>#VALUE!</v>
      </c>
      <c r="EV49" s="262" t="e">
        <f t="shared" si="32"/>
        <v>#VALUE!</v>
      </c>
      <c r="EW49" s="299" t="e">
        <f t="shared" si="33"/>
        <v>#VALUE!</v>
      </c>
      <c r="EX49" s="262" t="e">
        <f t="shared" si="34"/>
        <v>#VALUE!</v>
      </c>
    </row>
    <row r="50" spans="1:154" x14ac:dyDescent="0.35">
      <c r="A50" s="50" t="s">
        <v>160</v>
      </c>
      <c r="B50" s="34" t="str">
        <f>IF(ISNUMBER('1c. Kons. porevann'!E50),1000*'1c. Kons. porevann'!E50,IF(ISNUMBER('1b. Kons. umettet jord'!E50),1000*'1b. Kons. umettet jord'!E50/C50,""))</f>
        <v/>
      </c>
      <c r="C50" s="244">
        <f>IF(Stoff!B50="uorganisk",Stoff!C50,Stoff!D50*'1a. Spredningsmodell input'!$C$11)</f>
        <v>8318.64</v>
      </c>
      <c r="D50" s="34" t="str">
        <f>IF(ISNUMBER(B50),0.000001*('1b. Kons. umettet jord'!G50*'1a. Spredningsmodell input'!$C$12+B50*0.001*'1a. Spredningsmodell input'!$C$14)*1000*'1a. Spredningsmodell input'!$B$41*'1a. Spredningsmodell input'!$C$18,"")</f>
        <v/>
      </c>
      <c r="E50" s="283">
        <f>C50*'1a. Spredningsmodell input'!$C$12/'1a. Spredningsmodell input'!$C$14+1</f>
        <v>70709.439999999988</v>
      </c>
      <c r="F50" s="284">
        <f>'1a. Spredningsmodell input'!$B$43/E50</f>
        <v>2.121357487769667E-5</v>
      </c>
      <c r="G50" s="34" t="e">
        <f>Stoff!P50*Mellomregninger!D50</f>
        <v>#VALUE!</v>
      </c>
      <c r="H50" s="283" t="e">
        <f>(D50-G50)*(F50/(F50+Stoff!L50))</f>
        <v>#VALUE!</v>
      </c>
      <c r="I50" s="283">
        <f>F50/(F50+Stoff!L50)</f>
        <v>1</v>
      </c>
      <c r="J50" s="285" t="str">
        <f>IF(B50="","",IF(ISNUMBER('1d. Kons. mettet sone'!E50),'1d. Kons. mettet sone'!E50,IF(ISNUMBER('1e. Kons. grunnvann'!E50),'1e. Kons. grunnvann'!E50*Mellomregninger!K50,0)))</f>
        <v/>
      </c>
      <c r="K50" s="286">
        <f>IF(Stoff!B50="uorganisk",Stoff!C50,Stoff!D50*'1a. Spredningsmodell input'!$C$24)</f>
        <v>831.86400000000003</v>
      </c>
      <c r="L50" s="27" t="e">
        <f>IF(ISNUMBER('1e. Kons. grunnvann'!E50),1000*'1e. Kons. grunnvann'!E50,1000*J50/K50)</f>
        <v>#VALUE!</v>
      </c>
      <c r="M50" s="34">
        <f>K50*'1a. Spredningsmodell input'!$C$25/'1a. Spredningsmodell input'!$C$26+1</f>
        <v>3536.4219999999996</v>
      </c>
      <c r="N50" s="284">
        <f>'1a. Spredningsmodell input'!$C$26/M50</f>
        <v>1.1310867311650026E-4</v>
      </c>
      <c r="O50" s="287" t="e">
        <f>0.000000001*(J50*'1a. Spredningsmodell input'!$C$25+L50)*1000*'1a. Spredningsmodell input'!$B$45</f>
        <v>#VALUE!</v>
      </c>
      <c r="P50" s="287" t="e">
        <f>O50*Stoff!P50</f>
        <v>#VALUE!</v>
      </c>
      <c r="Q50" s="287">
        <f>N50/(N50+Stoff!M50)</f>
        <v>1</v>
      </c>
      <c r="R50" s="288">
        <f>IF(ISNUMBER('1f. Kons. resipient'!E50),'1f. Kons. resipient'!E50,0)</f>
        <v>0</v>
      </c>
      <c r="S50" s="288">
        <f>0.000000001*'1a. Spredningsmodell input'!$C$36*R50*1000</f>
        <v>0</v>
      </c>
      <c r="T50" s="288">
        <f>1/'1a. Spredningsmodell input'!$C$35</f>
        <v>1</v>
      </c>
      <c r="U50" s="288">
        <f>1/'1a. Spredningsmodell input'!$C$35</f>
        <v>1</v>
      </c>
      <c r="V50" s="300" t="e">
        <f>(1/($N50+Stoff!$L50))*(LN(($D50*$I50/($D50*$I50+$J50))*($F50+Stoff!$L50+$N50+Stoff!$M50)/($N50+Stoff!$M50)))</f>
        <v>#VALUE!</v>
      </c>
      <c r="W50" s="290" t="e">
        <f>($D50-Stoff!$P50*$D50)*EXP(-($F50+Stoff!$L50*365)*V50)</f>
        <v>#VALUE!</v>
      </c>
      <c r="X50" s="291" t="e">
        <f>(Stoff!$P50*$D50)*EXP(-'1a. Spredningsmodell input'!$B$43*V50)</f>
        <v>#VALUE!</v>
      </c>
      <c r="Y50" s="290" t="e">
        <f>($D50-Stoff!$P50*$D50-W50)*($F50/($F50+Stoff!$L50*365))</f>
        <v>#VALUE!</v>
      </c>
      <c r="Z50" s="290" t="e">
        <f>(Stoff!$P50*$D50)-X50</f>
        <v>#VALUE!</v>
      </c>
      <c r="AA50" s="290" t="e">
        <f>($O50+Y50)*EXP(-($N50+Stoff!$M50*365)*V50)</f>
        <v>#VALUE!</v>
      </c>
      <c r="AB50" s="290" t="e">
        <f>(Stoff!$P50*$O50+Z50)*EXP(-('1a. Spredningsmodell input'!$B$46)*V50)</f>
        <v>#VALUE!</v>
      </c>
      <c r="AC50" s="292" t="e">
        <f>((AA50+AB50)*1000000000)/('1a. Spredningsmodell input'!$B$45*1000)</f>
        <v>#VALUE!</v>
      </c>
      <c r="AD50" s="294" t="e">
        <f>0.001*AC50/('1a. Spredningsmodell input'!$C$25+'1a. Spredningsmodell input'!$C$26/Mellomregninger!$K50)</f>
        <v>#VALUE!</v>
      </c>
      <c r="AE50" s="294" t="e">
        <f>1000*AD50/$K50+AB50*1000000000/('1a. Spredningsmodell input'!$B$45*1000)</f>
        <v>#VALUE!</v>
      </c>
      <c r="AF50" s="294" t="e">
        <f t="shared" si="0"/>
        <v>#VALUE!</v>
      </c>
      <c r="AG50" s="294" t="e">
        <f>AB50*1000000000/('1a. Spredningsmodell input'!$B$45*1000)</f>
        <v>#VALUE!</v>
      </c>
      <c r="AH50" s="300" t="e">
        <f>(1/('1a. Spredningsmodell input'!$B$46))*(LN(($D50*Stoff!$P50/($D50*Stoff!$P50+$P50*Stoff!$P50))*('1a. Spredningsmodell input'!$B$43+'1a. Spredningsmodell input'!$B$46)/('1a. Spredningsmodell input'!$B$46)))</f>
        <v>#VALUE!</v>
      </c>
      <c r="AI50" s="290" t="e">
        <f>($D50-Stoff!$P50*$D50)*EXP(-($F50+Stoff!$L50*365)*AH50)</f>
        <v>#VALUE!</v>
      </c>
      <c r="AJ50" s="291" t="e">
        <f>(Stoff!$P50*$D50)*EXP(-'1a. Spredningsmodell input'!$B$43*AH50)</f>
        <v>#VALUE!</v>
      </c>
      <c r="AK50" s="290" t="e">
        <f>($D50-Stoff!$P50*$D50-AI50)*($F50/($F50+Stoff!$L50*365))</f>
        <v>#VALUE!</v>
      </c>
      <c r="AL50" s="290" t="e">
        <f>(Stoff!$P50*$D50)-AJ50</f>
        <v>#VALUE!</v>
      </c>
      <c r="AM50" s="290" t="e">
        <f>($O50+AK50)*EXP(-($N50+Stoff!$M50*365)*AH50)</f>
        <v>#VALUE!</v>
      </c>
      <c r="AN50" s="290" t="e">
        <f>(Stoff!$P50*$O50+AL50)*EXP(-('1a. Spredningsmodell input'!$B$46)*AH50)</f>
        <v>#VALUE!</v>
      </c>
      <c r="AO50" s="292" t="e">
        <f>((AM50+AN50)*1000000000)/('1a. Spredningsmodell input'!$B$45*1000)</f>
        <v>#VALUE!</v>
      </c>
      <c r="AP50" s="294" t="e">
        <f>0.001*AO50/('1a. Spredningsmodell input'!$C$25+'1a. Spredningsmodell input'!$C$26/Mellomregninger!$K50)</f>
        <v>#VALUE!</v>
      </c>
      <c r="AQ50" s="294" t="e">
        <f>1000*AP50/$K50+AN50*1000000000/('1a. Spredningsmodell input'!$B$45*1000)</f>
        <v>#VALUE!</v>
      </c>
      <c r="AR50" s="294" t="e">
        <f t="shared" si="1"/>
        <v>#VALUE!</v>
      </c>
      <c r="AS50" s="294" t="e">
        <f>AN50*1000000000/('1a. Spredningsmodell input'!$B$45*1000)</f>
        <v>#VALUE!</v>
      </c>
      <c r="AT50" s="295">
        <f t="shared" si="25"/>
        <v>5</v>
      </c>
      <c r="AU50" s="290" t="e">
        <f>($D50-Stoff!$P50*$D50)*EXP(-($F50+Stoff!$L50*365)*AT50)</f>
        <v>#VALUE!</v>
      </c>
      <c r="AV50" s="291" t="e">
        <f>(Stoff!$P50*$D50)*EXP(-'1a. Spredningsmodell input'!$B$43*AT50)</f>
        <v>#VALUE!</v>
      </c>
      <c r="AW50" s="290" t="e">
        <f>($D50-Stoff!$P50*$D50-AU50)*($F50/($F50+Stoff!$L50*365))</f>
        <v>#VALUE!</v>
      </c>
      <c r="AX50" s="290" t="e">
        <f>(Stoff!$P50*$D50)-AV50</f>
        <v>#VALUE!</v>
      </c>
      <c r="AY50" s="290" t="e">
        <f>($O50+AW50)*EXP(-($N50+Stoff!$M50*365)*AT50)</f>
        <v>#VALUE!</v>
      </c>
      <c r="AZ50" s="290" t="e">
        <f>(Stoff!$P50*$O50+AX50)*EXP(-('1a. Spredningsmodell input'!$B$46)*AT50)</f>
        <v>#VALUE!</v>
      </c>
      <c r="BA50" s="292" t="e">
        <f>((AY50+AZ50)*1000000000)/('1a. Spredningsmodell input'!$B$45*1000)</f>
        <v>#VALUE!</v>
      </c>
      <c r="BB50" s="294" t="e">
        <f>0.001*BA50/('1a. Spredningsmodell input'!$C$25+'1a. Spredningsmodell input'!$C$26/Mellomregninger!$K50)</f>
        <v>#VALUE!</v>
      </c>
      <c r="BC50" s="294" t="e">
        <f>1000*BB50/$K50+AZ50*1000000000/('1a. Spredningsmodell input'!$B$45*1000)</f>
        <v>#VALUE!</v>
      </c>
      <c r="BD50" s="294" t="e">
        <f t="shared" si="2"/>
        <v>#VALUE!</v>
      </c>
      <c r="BE50" s="294" t="e">
        <f>AZ50*1000000000/('1a. Spredningsmodell input'!$B$45*1000)</f>
        <v>#VALUE!</v>
      </c>
      <c r="BF50" s="295">
        <f t="shared" si="26"/>
        <v>20</v>
      </c>
      <c r="BG50" s="290" t="e">
        <f>($D50-Stoff!$P50*$D50)*EXP(-($F50+Stoff!$L50*365)*BF50)</f>
        <v>#VALUE!</v>
      </c>
      <c r="BH50" s="291" t="e">
        <f>(Stoff!$P50*$D50)*EXP(-'1a. Spredningsmodell input'!$B$43*BF50)</f>
        <v>#VALUE!</v>
      </c>
      <c r="BI50" s="290" t="e">
        <f>($D50-Stoff!$P50*$D50-BG50)*($F50/($F50+Stoff!$L50*365))</f>
        <v>#VALUE!</v>
      </c>
      <c r="BJ50" s="290" t="e">
        <f>(Stoff!$P50*$D50)-BH50</f>
        <v>#VALUE!</v>
      </c>
      <c r="BK50" s="290" t="e">
        <f>($O50+BI50)*EXP(-($N50+Stoff!$M50*365)*BF50)</f>
        <v>#VALUE!</v>
      </c>
      <c r="BL50" s="290" t="e">
        <f>(Stoff!$P50*$O50+BJ50)*EXP(-('1a. Spredningsmodell input'!$B$46)*BF50)</f>
        <v>#VALUE!</v>
      </c>
      <c r="BM50" s="292" t="e">
        <f>((BK50+BL50)*1000000000)/('1a. Spredningsmodell input'!$B$45*1000)</f>
        <v>#VALUE!</v>
      </c>
      <c r="BN50" s="294" t="e">
        <f>0.001*BM50/('1a. Spredningsmodell input'!$C$25+'1a. Spredningsmodell input'!$C$26/Mellomregninger!$K50)</f>
        <v>#VALUE!</v>
      </c>
      <c r="BO50" s="294" t="e">
        <f>1000*BN50/$K50+BL50*1000000000/('1a. Spredningsmodell input'!$B$45*1000)</f>
        <v>#VALUE!</v>
      </c>
      <c r="BP50" s="294" t="e">
        <f t="shared" si="3"/>
        <v>#VALUE!</v>
      </c>
      <c r="BQ50" s="294" t="e">
        <f>BL50*1000000000/('1a. Spredningsmodell input'!$B$45*1000)</f>
        <v>#VALUE!</v>
      </c>
      <c r="BR50" s="295">
        <f t="shared" si="27"/>
        <v>100</v>
      </c>
      <c r="BS50" s="290" t="e">
        <f>($D50-Stoff!$P50*$D50)*EXP(-($F50+Stoff!$L50*365)*BR50)</f>
        <v>#VALUE!</v>
      </c>
      <c r="BT50" s="291" t="e">
        <f>(Stoff!$P50*$D50)*EXP(-'1a. Spredningsmodell input'!$B$43*BR50)</f>
        <v>#VALUE!</v>
      </c>
      <c r="BU50" s="290" t="e">
        <f>($D50-Stoff!$P50*$D50-BS50)*($F50/($F50+Stoff!$L50*365))</f>
        <v>#VALUE!</v>
      </c>
      <c r="BV50" s="290" t="e">
        <f>(Stoff!$P50*$D50)-BT50</f>
        <v>#VALUE!</v>
      </c>
      <c r="BW50" s="290" t="e">
        <f>($O50+BU50)*EXP(-($N50+Stoff!$M50*365)*BR50)</f>
        <v>#VALUE!</v>
      </c>
      <c r="BX50" s="290" t="e">
        <f>(Stoff!$P50*$O50+BV50)*EXP(-('1a. Spredningsmodell input'!$B$46)*BR50)</f>
        <v>#VALUE!</v>
      </c>
      <c r="BY50" s="292" t="e">
        <f>((BW50+BX50)*1000000000)/('1a. Spredningsmodell input'!$B$45*1000)</f>
        <v>#VALUE!</v>
      </c>
      <c r="BZ50" s="294" t="e">
        <f>0.001*BY50/('1a. Spredningsmodell input'!$C$25+'1a. Spredningsmodell input'!$C$26/Mellomregninger!$K50)</f>
        <v>#VALUE!</v>
      </c>
      <c r="CA50" s="294" t="e">
        <f>1000*BZ50/$K50+BX50*1000000000/('1a. Spredningsmodell input'!$B$45*1000)</f>
        <v>#VALUE!</v>
      </c>
      <c r="CB50" s="294" t="e">
        <f t="shared" si="4"/>
        <v>#VALUE!</v>
      </c>
      <c r="CC50" s="294" t="e">
        <f>BX50*1000000000/('1a. Spredningsmodell input'!$B$45*1000)</f>
        <v>#VALUE!</v>
      </c>
      <c r="CD50" s="294" t="e">
        <f>V50+'1a. Spredningsmodell input'!$C$35</f>
        <v>#VALUE!</v>
      </c>
      <c r="CE50" s="294" t="e">
        <f>($S50+$Q50*($O50+$I50*($D50*(1-Stoff!$P50))*(1-EXP(-($F50+Stoff!$L50*365)*CD50)))*(1-EXP(-($N50+Stoff!$M50*365)*CD50)))</f>
        <v>#VALUE!</v>
      </c>
      <c r="CF50" s="294" t="e">
        <f t="shared" si="5"/>
        <v>#VALUE!</v>
      </c>
      <c r="CG50" s="296" t="e">
        <f>(CF50/1000000)*'1a. Spredningsmodell input'!$B$49*'1a. Spredningsmodell input'!$C$35</f>
        <v>#VALUE!</v>
      </c>
      <c r="CH50" s="294" t="e">
        <f t="shared" si="17"/>
        <v>#VALUE!</v>
      </c>
      <c r="CI50" s="290" t="e">
        <f>(CH50/1000000)*'1a. Spredningsmodell input'!$B$49*'1a. Spredningsmodell input'!$C$35</f>
        <v>#VALUE!</v>
      </c>
      <c r="CJ50" s="297" t="e">
        <f>($S50)*EXP(-(Stoff!$N50*365+$U50)*CD50)+CG50</f>
        <v>#VALUE!</v>
      </c>
      <c r="CK50" s="297" t="e">
        <f>(Stoff!$P50*$S50+CI50)*EXP(-$T50*CD50)</f>
        <v>#VALUE!</v>
      </c>
      <c r="CL50" s="297" t="e">
        <f>(CJ50+CK50)*1000000000/('1a. Spredningsmodell input'!$C$36*1000)</f>
        <v>#VALUE!</v>
      </c>
      <c r="CM50" s="297" t="e">
        <f>$G50*(1-EXP(-'1a. Spredningsmodell input'!$B$43*Mellomregninger!CD50))*(1-EXP(-'1a. Spredningsmodell input'!$B$46*Mellomregninger!CD50))</f>
        <v>#VALUE!</v>
      </c>
      <c r="CN50" s="297"/>
      <c r="CO50" s="297"/>
      <c r="CP50" s="290">
        <f>IF(ISNUMBER(AH50),AH50+'1a. Spredningsmodell input'!$C$35,'1a. Spredningsmodell input'!$C$35)</f>
        <v>1</v>
      </c>
      <c r="CQ50" s="294" t="e">
        <f>($S50+$Q50*($O50+$I50*($D50*(1-Stoff!$P50))*(1-EXP(-($F50+Stoff!$L50*365)*CP50)))*(1-EXP(-($N50+Stoff!$M50*365)*CP50)))</f>
        <v>#VALUE!</v>
      </c>
      <c r="CR50" s="294" t="e">
        <f t="shared" si="6"/>
        <v>#VALUE!</v>
      </c>
      <c r="CS50" s="296" t="e">
        <f>(CR50/1000000)*('1a. Spredningsmodell input'!$B$49*'1a. Spredningsmodell input'!$C$35)</f>
        <v>#VALUE!</v>
      </c>
      <c r="CT50" s="294" t="e">
        <f t="shared" si="7"/>
        <v>#VALUE!</v>
      </c>
      <c r="CU50" s="290" t="e">
        <f>(CT50/1000000)*('1a. Spredningsmodell input'!$B$49)*'1a. Spredningsmodell input'!$C$35</f>
        <v>#VALUE!</v>
      </c>
      <c r="CV50" s="297" t="e">
        <f>($S50)*EXP(-(Stoff!$N50*365+$U50)*CP50)+CS50</f>
        <v>#VALUE!</v>
      </c>
      <c r="CW50" s="297" t="e">
        <f>(Stoff!$P50*$S50+CU50)*EXP(-$T50*CP50)</f>
        <v>#VALUE!</v>
      </c>
      <c r="CX50" s="297">
        <f>IF(ISERROR(CV50),0,(CV50+CW50)*1000000000/('1a. Spredningsmodell input'!$C$36*1000))</f>
        <v>0</v>
      </c>
      <c r="CY50" s="297" t="e">
        <f>$G50*(1-EXP(-'1a. Spredningsmodell input'!$B$43*Mellomregninger!CP50))*(1-EXP(-'1a. Spredningsmodell input'!$B$46*Mellomregninger!CP50))</f>
        <v>#VALUE!</v>
      </c>
      <c r="CZ50" s="297"/>
      <c r="DA50" s="297"/>
      <c r="DB50" s="262">
        <f t="shared" si="28"/>
        <v>5</v>
      </c>
      <c r="DC50" s="298" t="e">
        <f>($S50+$Q50*($O50+$I50*($D50*(1-Stoff!$P50))*(1-EXP(-($F50+Stoff!$L50*365)*DB50)))*(1-EXP(-($N50+Stoff!$M50*365)*DB50)))</f>
        <v>#VALUE!</v>
      </c>
      <c r="DD50" s="294" t="e">
        <f t="shared" si="8"/>
        <v>#VALUE!</v>
      </c>
      <c r="DE50" s="296" t="e">
        <f>(DD50/1000000)*('1a. Spredningsmodell input'!$B$49)*'1a. Spredningsmodell input'!$C$35</f>
        <v>#VALUE!</v>
      </c>
      <c r="DF50" s="294" t="e">
        <f t="shared" si="19"/>
        <v>#VALUE!</v>
      </c>
      <c r="DG50" s="290" t="e">
        <f>(DF50/1000000)*('1a. Spredningsmodell input'!$B$49)*'1a. Spredningsmodell input'!$C$35</f>
        <v>#VALUE!</v>
      </c>
      <c r="DH50" s="297" t="e">
        <f>($S50)*EXP(-(Stoff!$N50*365+$U50)*DB50)+DE50</f>
        <v>#VALUE!</v>
      </c>
      <c r="DI50" s="297" t="e">
        <f>(Stoff!$P50*$S50+DG50)*EXP(-$T50*DB50)</f>
        <v>#VALUE!</v>
      </c>
      <c r="DJ50" s="297" t="e">
        <f>(DH50+DI50)*1000000000/('1a. Spredningsmodell input'!$C$36*1000)</f>
        <v>#VALUE!</v>
      </c>
      <c r="DK50" s="297" t="e">
        <f>$G50*(1-EXP(-'1a. Spredningsmodell input'!$B$43*Mellomregninger!DB50))*(1-EXP(-'1a. Spredningsmodell input'!$B$46*Mellomregninger!DB50))</f>
        <v>#VALUE!</v>
      </c>
      <c r="DL50" s="297"/>
      <c r="DM50" s="297"/>
      <c r="DN50" s="262">
        <f t="shared" si="29"/>
        <v>20</v>
      </c>
      <c r="DO50" s="298" t="e">
        <f>($S50+$Q50*($O50+$I50*($D50*(1-Stoff!$P50))*(1-EXP(-($F50+Stoff!$L50*365)*DN50)))*(1-EXP(-($N50+Stoff!$M50*365)*DN50)))</f>
        <v>#VALUE!</v>
      </c>
      <c r="DP50" s="294" t="e">
        <f t="shared" si="21"/>
        <v>#VALUE!</v>
      </c>
      <c r="DQ50" s="296" t="e">
        <f>(DP50/1000000)*('1a. Spredningsmodell input'!$B$49)*'1a. Spredningsmodell input'!$C$35</f>
        <v>#VALUE!</v>
      </c>
      <c r="DR50" s="294" t="e">
        <f t="shared" si="9"/>
        <v>#VALUE!</v>
      </c>
      <c r="DS50" s="290" t="e">
        <f>(DR50/1000000)*('1a. Spredningsmodell input'!$B$49)*'1a. Spredningsmodell input'!$C$35</f>
        <v>#VALUE!</v>
      </c>
      <c r="DT50" s="297" t="e">
        <f>($S50)*EXP(-(Stoff!$N50*365+$U50)*DN50)+DQ50</f>
        <v>#VALUE!</v>
      </c>
      <c r="DU50" s="297" t="e">
        <f>(Stoff!$P50*$S50+DS50)*EXP(-$T50*DN50)</f>
        <v>#VALUE!</v>
      </c>
      <c r="DV50" s="297" t="e">
        <f>(DT50+DU50)*1000000000/('1a. Spredningsmodell input'!$C$36*1000)</f>
        <v>#VALUE!</v>
      </c>
      <c r="DW50" s="297" t="e">
        <f>$G50*(1-EXP(-'1a. Spredningsmodell input'!$B$43*Mellomregninger!DN50))*(1-EXP(-'1a. Spredningsmodell input'!$B$46*Mellomregninger!DN50))</f>
        <v>#VALUE!</v>
      </c>
      <c r="DX50" s="297"/>
      <c r="DY50" s="297"/>
      <c r="DZ50" s="262">
        <f t="shared" si="30"/>
        <v>100</v>
      </c>
      <c r="EA50" s="298" t="e">
        <f>($S50+$Q50*($O50+$I50*($D50*(1-Stoff!$P50))*(1-EXP(-($F50+Stoff!$L50*365)*DZ50)))*(1-EXP(-($N50+Stoff!$M50*365)*DZ50)))</f>
        <v>#VALUE!</v>
      </c>
      <c r="EB50" s="294" t="e">
        <f t="shared" si="10"/>
        <v>#VALUE!</v>
      </c>
      <c r="EC50" s="296" t="e">
        <f>(EB50/1000000)*('1a. Spredningsmodell input'!$B$49)*'1a. Spredningsmodell input'!$C$35</f>
        <v>#VALUE!</v>
      </c>
      <c r="ED50" s="294" t="e">
        <f t="shared" si="11"/>
        <v>#VALUE!</v>
      </c>
      <c r="EE50" s="290" t="e">
        <f>(ED50/1000000)*('1a. Spredningsmodell input'!$B$49)*'1a. Spredningsmodell input'!$C$35</f>
        <v>#VALUE!</v>
      </c>
      <c r="EF50" s="297" t="e">
        <f>($S50)*EXP(-(Stoff!$N50*365+$U50)*DZ50)+EC50</f>
        <v>#VALUE!</v>
      </c>
      <c r="EG50" s="297" t="e">
        <f>(Stoff!$P50*$S50+EE50)*EXP(-$T50*DZ50)</f>
        <v>#VALUE!</v>
      </c>
      <c r="EH50" s="297" t="e">
        <f>(EF50+EG50)*1000000000/('1a. Spredningsmodell input'!$C$36*1000)</f>
        <v>#VALUE!</v>
      </c>
      <c r="EI50" s="297" t="e">
        <f>$G50*(1-EXP(-'1a. Spredningsmodell input'!$B$43*Mellomregninger!DZ50))*(1-EXP(-'1a. Spredningsmodell input'!$B$46*Mellomregninger!DZ50))</f>
        <v>#VALUE!</v>
      </c>
      <c r="EJ50" s="297"/>
      <c r="EK50" s="297"/>
      <c r="EL50" s="262">
        <f t="shared" si="31"/>
        <v>1.0000000000000001E+25</v>
      </c>
      <c r="EM50" s="294" t="e">
        <f>($S50+$Q50*($O50+$I50*($D50*(1-Stoff!$P50))*(1-EXP(-($F50+Stoff!$L50*365)*EL50)))*(1-EXP(-($N50+Stoff!$M50*365)*EL50)))</f>
        <v>#VALUE!</v>
      </c>
      <c r="EN50" s="296" t="e">
        <f>($S50+$Q50*($O50+$I50*($D50*(1-Stoff!$P50))*(1-EXP(-($F50+Stoff!$L50*365)*(EL50-'1a. Spredningsmodell input'!$C$35))))*(1-EXP(-($N50+Stoff!$M50*365)*(EL50-'1a. Spredningsmodell input'!$C$35))))</f>
        <v>#VALUE!</v>
      </c>
      <c r="EO50" s="294" t="e">
        <f>IF(EL50&lt;'1a. Spredningsmodell input'!$C$35,EM50-($S50)*EXP(-(Stoff!$N50*365+$U50)*EL50),EM50-EN50)</f>
        <v>#VALUE!</v>
      </c>
      <c r="EP50" s="290" t="e">
        <f>((($D50*(Stoff!$P50))*(1-EXP(-'1a. Spredningsmodell input'!$B$43*EL50)))*(1-EXP(-'1a. Spredningsmodell input'!$B$46*EL50)))</f>
        <v>#VALUE!</v>
      </c>
      <c r="EQ50" s="294" t="e">
        <f>((($D50*(Stoff!$P50))*(1-EXP(-'1a. Spredningsmodell input'!$B$43*(EL50-'1a. Spredningsmodell input'!$C$35))))*(1-EXP(-'1a. Spredningsmodell input'!$B$46*(EL50-'1a. Spredningsmodell input'!$C$35))))</f>
        <v>#VALUE!</v>
      </c>
      <c r="ER50" s="290" t="e">
        <f>IF(EL50&lt;'1a. Spredningsmodell input'!$C$35,0,EP50-EQ50)</f>
        <v>#VALUE!</v>
      </c>
      <c r="ES50" s="297" t="e">
        <f>($S50)*EXP(-(Stoff!$N50*365+$U50)*EL50)+EO50</f>
        <v>#VALUE!</v>
      </c>
      <c r="ET50" s="297" t="e">
        <f>(Stoff!$P50*$S50+ER50)*EXP(-$T50*EL50)</f>
        <v>#VALUE!</v>
      </c>
      <c r="EU50" s="297" t="e">
        <f>(ES50+ET50)*1000000000/('1a. Spredningsmodell input'!$C$36*1000)</f>
        <v>#VALUE!</v>
      </c>
      <c r="EV50" s="262" t="e">
        <f t="shared" si="32"/>
        <v>#VALUE!</v>
      </c>
      <c r="EW50" s="299" t="e">
        <f t="shared" si="33"/>
        <v>#VALUE!</v>
      </c>
      <c r="EX50" s="262" t="e">
        <f t="shared" si="34"/>
        <v>#VALUE!</v>
      </c>
    </row>
    <row r="51" spans="1:154" x14ac:dyDescent="0.35">
      <c r="A51" s="50" t="s">
        <v>159</v>
      </c>
      <c r="B51" s="34" t="str">
        <f>IF(ISNUMBER('1c. Kons. porevann'!E51),1000*'1c. Kons. porevann'!E51,IF(ISNUMBER('1b. Kons. umettet jord'!E51),1000*'1b. Kons. umettet jord'!E51/C51,""))</f>
        <v/>
      </c>
      <c r="C51" s="244">
        <f>IF(Stoff!B51="uorganisk",Stoff!C51,Stoff!D51*'1a. Spredningsmodell input'!$C$11)</f>
        <v>7943.28</v>
      </c>
      <c r="D51" s="34" t="str">
        <f>IF(ISNUMBER(B51),0.000001*('1b. Kons. umettet jord'!G51*'1a. Spredningsmodell input'!$C$12+B51*0.001*'1a. Spredningsmodell input'!$C$14)*1000*'1a. Spredningsmodell input'!$B$41*'1a. Spredningsmodell input'!$C$18,"")</f>
        <v/>
      </c>
      <c r="E51" s="283">
        <f>C51*'1a. Spredningsmodell input'!$C$12/'1a. Spredningsmodell input'!$C$14+1</f>
        <v>67518.87999999999</v>
      </c>
      <c r="F51" s="284">
        <f>'1a. Spredningsmodell input'!$B$43/E51</f>
        <v>2.2216008322412931E-5</v>
      </c>
      <c r="G51" s="34" t="e">
        <f>Stoff!P51*Mellomregninger!D51</f>
        <v>#VALUE!</v>
      </c>
      <c r="H51" s="283" t="e">
        <f>(D51-G51)*(F51/(F51+Stoff!L51))</f>
        <v>#VALUE!</v>
      </c>
      <c r="I51" s="283">
        <f>F51/(F51+Stoff!L51)</f>
        <v>1</v>
      </c>
      <c r="J51" s="285" t="str">
        <f>IF(B51="","",IF(ISNUMBER('1d. Kons. mettet sone'!E51),'1d. Kons. mettet sone'!E51,IF(ISNUMBER('1e. Kons. grunnvann'!E51),'1e. Kons. grunnvann'!E51*Mellomregninger!K51,0)))</f>
        <v/>
      </c>
      <c r="K51" s="286">
        <f>IF(Stoff!B51="uorganisk",Stoff!C51,Stoff!D51*'1a. Spredningsmodell input'!$C$24)</f>
        <v>794.32799999999997</v>
      </c>
      <c r="L51" s="27" t="e">
        <f>IF(ISNUMBER('1e. Kons. grunnvann'!E51),1000*'1e. Kons. grunnvann'!E51,1000*J51/K51)</f>
        <v>#VALUE!</v>
      </c>
      <c r="M51" s="34">
        <f>K51*'1a. Spredningsmodell input'!$C$25/'1a. Spredningsmodell input'!$C$26+1</f>
        <v>3376.8939999999993</v>
      </c>
      <c r="N51" s="284">
        <f>'1a. Spredningsmodell input'!$C$26/M51</f>
        <v>1.1845204498571768E-4</v>
      </c>
      <c r="O51" s="287" t="e">
        <f>0.000000001*(J51*'1a. Spredningsmodell input'!$C$25+L51)*1000*'1a. Spredningsmodell input'!$B$45</f>
        <v>#VALUE!</v>
      </c>
      <c r="P51" s="287" t="e">
        <f>O51*Stoff!P51</f>
        <v>#VALUE!</v>
      </c>
      <c r="Q51" s="287">
        <f>N51/(N51+Stoff!M51)</f>
        <v>1</v>
      </c>
      <c r="R51" s="288">
        <f>IF(ISNUMBER('1f. Kons. resipient'!E51),'1f. Kons. resipient'!E51,0)</f>
        <v>0</v>
      </c>
      <c r="S51" s="288">
        <f>0.000000001*'1a. Spredningsmodell input'!$C$36*R51*1000</f>
        <v>0</v>
      </c>
      <c r="T51" s="288">
        <f>1/'1a. Spredningsmodell input'!$C$35</f>
        <v>1</v>
      </c>
      <c r="U51" s="288">
        <f>1/'1a. Spredningsmodell input'!$C$35</f>
        <v>1</v>
      </c>
      <c r="V51" s="300" t="e">
        <f>(1/($N51+Stoff!$L51))*(LN(($D51*$I51/($D51*$I51+$J51))*($F51+Stoff!$L51+$N51+Stoff!$M51)/($N51+Stoff!$M51)))</f>
        <v>#VALUE!</v>
      </c>
      <c r="W51" s="290" t="e">
        <f>($D51-Stoff!$P51*$D51)*EXP(-($F51+Stoff!$L51*365)*V51)</f>
        <v>#VALUE!</v>
      </c>
      <c r="X51" s="291" t="e">
        <f>(Stoff!$P51*$D51)*EXP(-'1a. Spredningsmodell input'!$B$43*V51)</f>
        <v>#VALUE!</v>
      </c>
      <c r="Y51" s="290" t="e">
        <f>($D51-Stoff!$P51*$D51-W51)*($F51/($F51+Stoff!$L51*365))</f>
        <v>#VALUE!</v>
      </c>
      <c r="Z51" s="290" t="e">
        <f>(Stoff!$P51*$D51)-X51</f>
        <v>#VALUE!</v>
      </c>
      <c r="AA51" s="290" t="e">
        <f>($O51+Y51)*EXP(-($N51+Stoff!$M51*365)*V51)</f>
        <v>#VALUE!</v>
      </c>
      <c r="AB51" s="290" t="e">
        <f>(Stoff!$P51*$O51+Z51)*EXP(-('1a. Spredningsmodell input'!$B$46)*V51)</f>
        <v>#VALUE!</v>
      </c>
      <c r="AC51" s="292" t="e">
        <f>((AA51+AB51)*1000000000)/('1a. Spredningsmodell input'!$B$45*1000)</f>
        <v>#VALUE!</v>
      </c>
      <c r="AD51" s="294" t="e">
        <f>0.001*AC51/('1a. Spredningsmodell input'!$C$25+'1a. Spredningsmodell input'!$C$26/Mellomregninger!$K51)</f>
        <v>#VALUE!</v>
      </c>
      <c r="AE51" s="294" t="e">
        <f>1000*AD51/$K51+AB51*1000000000/('1a. Spredningsmodell input'!$B$45*1000)</f>
        <v>#VALUE!</v>
      </c>
      <c r="AF51" s="294" t="e">
        <f t="shared" si="0"/>
        <v>#VALUE!</v>
      </c>
      <c r="AG51" s="294" t="e">
        <f>AB51*1000000000/('1a. Spredningsmodell input'!$B$45*1000)</f>
        <v>#VALUE!</v>
      </c>
      <c r="AH51" s="300" t="e">
        <f>(1/('1a. Spredningsmodell input'!$B$46))*(LN(($D51*Stoff!$P51/($D51*Stoff!$P51+$P51*Stoff!$P51))*('1a. Spredningsmodell input'!$B$43+'1a. Spredningsmodell input'!$B$46)/('1a. Spredningsmodell input'!$B$46)))</f>
        <v>#VALUE!</v>
      </c>
      <c r="AI51" s="290" t="e">
        <f>($D51-Stoff!$P51*$D51)*EXP(-($F51+Stoff!$L51*365)*AH51)</f>
        <v>#VALUE!</v>
      </c>
      <c r="AJ51" s="291" t="e">
        <f>(Stoff!$P51*$D51)*EXP(-'1a. Spredningsmodell input'!$B$43*AH51)</f>
        <v>#VALUE!</v>
      </c>
      <c r="AK51" s="290" t="e">
        <f>($D51-Stoff!$P51*$D51-AI51)*($F51/($F51+Stoff!$L51*365))</f>
        <v>#VALUE!</v>
      </c>
      <c r="AL51" s="290" t="e">
        <f>(Stoff!$P51*$D51)-AJ51</f>
        <v>#VALUE!</v>
      </c>
      <c r="AM51" s="290" t="e">
        <f>($O51+AK51)*EXP(-($N51+Stoff!$M51*365)*AH51)</f>
        <v>#VALUE!</v>
      </c>
      <c r="AN51" s="290" t="e">
        <f>(Stoff!$P51*$O51+AL51)*EXP(-('1a. Spredningsmodell input'!$B$46)*AH51)</f>
        <v>#VALUE!</v>
      </c>
      <c r="AO51" s="292" t="e">
        <f>((AM51+AN51)*1000000000)/('1a. Spredningsmodell input'!$B$45*1000)</f>
        <v>#VALUE!</v>
      </c>
      <c r="AP51" s="294" t="e">
        <f>0.001*AO51/('1a. Spredningsmodell input'!$C$25+'1a. Spredningsmodell input'!$C$26/Mellomregninger!$K51)</f>
        <v>#VALUE!</v>
      </c>
      <c r="AQ51" s="294" t="e">
        <f>1000*AP51/$K51+AN51*1000000000/('1a. Spredningsmodell input'!$B$45*1000)</f>
        <v>#VALUE!</v>
      </c>
      <c r="AR51" s="294" t="e">
        <f t="shared" si="1"/>
        <v>#VALUE!</v>
      </c>
      <c r="AS51" s="294" t="e">
        <f>AN51*1000000000/('1a. Spredningsmodell input'!$B$45*1000)</f>
        <v>#VALUE!</v>
      </c>
      <c r="AT51" s="295">
        <f t="shared" si="25"/>
        <v>5</v>
      </c>
      <c r="AU51" s="290" t="e">
        <f>($D51-Stoff!$P51*$D51)*EXP(-($F51+Stoff!$L51*365)*AT51)</f>
        <v>#VALUE!</v>
      </c>
      <c r="AV51" s="291" t="e">
        <f>(Stoff!$P51*$D51)*EXP(-'1a. Spredningsmodell input'!$B$43*AT51)</f>
        <v>#VALUE!</v>
      </c>
      <c r="AW51" s="290" t="e">
        <f>($D51-Stoff!$P51*$D51-AU51)*($F51/($F51+Stoff!$L51*365))</f>
        <v>#VALUE!</v>
      </c>
      <c r="AX51" s="290" t="e">
        <f>(Stoff!$P51*$D51)-AV51</f>
        <v>#VALUE!</v>
      </c>
      <c r="AY51" s="290" t="e">
        <f>($O51+AW51)*EXP(-($N51+Stoff!$M51*365)*AT51)</f>
        <v>#VALUE!</v>
      </c>
      <c r="AZ51" s="290" t="e">
        <f>(Stoff!$P51*$O51+AX51)*EXP(-('1a. Spredningsmodell input'!$B$46)*AT51)</f>
        <v>#VALUE!</v>
      </c>
      <c r="BA51" s="292" t="e">
        <f>((AY51+AZ51)*1000000000)/('1a. Spredningsmodell input'!$B$45*1000)</f>
        <v>#VALUE!</v>
      </c>
      <c r="BB51" s="294" t="e">
        <f>0.001*BA51/('1a. Spredningsmodell input'!$C$25+'1a. Spredningsmodell input'!$C$26/Mellomregninger!$K51)</f>
        <v>#VALUE!</v>
      </c>
      <c r="BC51" s="294" t="e">
        <f>1000*BB51/$K51+AZ51*1000000000/('1a. Spredningsmodell input'!$B$45*1000)</f>
        <v>#VALUE!</v>
      </c>
      <c r="BD51" s="294" t="e">
        <f t="shared" si="2"/>
        <v>#VALUE!</v>
      </c>
      <c r="BE51" s="294" t="e">
        <f>AZ51*1000000000/('1a. Spredningsmodell input'!$B$45*1000)</f>
        <v>#VALUE!</v>
      </c>
      <c r="BF51" s="295">
        <f t="shared" si="26"/>
        <v>20</v>
      </c>
      <c r="BG51" s="290" t="e">
        <f>($D51-Stoff!$P51*$D51)*EXP(-($F51+Stoff!$L51*365)*BF51)</f>
        <v>#VALUE!</v>
      </c>
      <c r="BH51" s="291" t="e">
        <f>(Stoff!$P51*$D51)*EXP(-'1a. Spredningsmodell input'!$B$43*BF51)</f>
        <v>#VALUE!</v>
      </c>
      <c r="BI51" s="290" t="e">
        <f>($D51-Stoff!$P51*$D51-BG51)*($F51/($F51+Stoff!$L51*365))</f>
        <v>#VALUE!</v>
      </c>
      <c r="BJ51" s="290" t="e">
        <f>(Stoff!$P51*$D51)-BH51</f>
        <v>#VALUE!</v>
      </c>
      <c r="BK51" s="290" t="e">
        <f>($O51+BI51)*EXP(-($N51+Stoff!$M51*365)*BF51)</f>
        <v>#VALUE!</v>
      </c>
      <c r="BL51" s="290" t="e">
        <f>(Stoff!$P51*$O51+BJ51)*EXP(-('1a. Spredningsmodell input'!$B$46)*BF51)</f>
        <v>#VALUE!</v>
      </c>
      <c r="BM51" s="292" t="e">
        <f>((BK51+BL51)*1000000000)/('1a. Spredningsmodell input'!$B$45*1000)</f>
        <v>#VALUE!</v>
      </c>
      <c r="BN51" s="294" t="e">
        <f>0.001*BM51/('1a. Spredningsmodell input'!$C$25+'1a. Spredningsmodell input'!$C$26/Mellomregninger!$K51)</f>
        <v>#VALUE!</v>
      </c>
      <c r="BO51" s="294" t="e">
        <f>1000*BN51/$K51+BL51*1000000000/('1a. Spredningsmodell input'!$B$45*1000)</f>
        <v>#VALUE!</v>
      </c>
      <c r="BP51" s="294" t="e">
        <f t="shared" si="3"/>
        <v>#VALUE!</v>
      </c>
      <c r="BQ51" s="294" t="e">
        <f>BL51*1000000000/('1a. Spredningsmodell input'!$B$45*1000)</f>
        <v>#VALUE!</v>
      </c>
      <c r="BR51" s="295">
        <f t="shared" si="27"/>
        <v>100</v>
      </c>
      <c r="BS51" s="290" t="e">
        <f>($D51-Stoff!$P51*$D51)*EXP(-($F51+Stoff!$L51*365)*BR51)</f>
        <v>#VALUE!</v>
      </c>
      <c r="BT51" s="291" t="e">
        <f>(Stoff!$P51*$D51)*EXP(-'1a. Spredningsmodell input'!$B$43*BR51)</f>
        <v>#VALUE!</v>
      </c>
      <c r="BU51" s="290" t="e">
        <f>($D51-Stoff!$P51*$D51-BS51)*($F51/($F51+Stoff!$L51*365))</f>
        <v>#VALUE!</v>
      </c>
      <c r="BV51" s="290" t="e">
        <f>(Stoff!$P51*$D51)-BT51</f>
        <v>#VALUE!</v>
      </c>
      <c r="BW51" s="290" t="e">
        <f>($O51+BU51)*EXP(-($N51+Stoff!$M51*365)*BR51)</f>
        <v>#VALUE!</v>
      </c>
      <c r="BX51" s="290" t="e">
        <f>(Stoff!$P51*$O51+BV51)*EXP(-('1a. Spredningsmodell input'!$B$46)*BR51)</f>
        <v>#VALUE!</v>
      </c>
      <c r="BY51" s="292" t="e">
        <f>((BW51+BX51)*1000000000)/('1a. Spredningsmodell input'!$B$45*1000)</f>
        <v>#VALUE!</v>
      </c>
      <c r="BZ51" s="294" t="e">
        <f>0.001*BY51/('1a. Spredningsmodell input'!$C$25+'1a. Spredningsmodell input'!$C$26/Mellomregninger!$K51)</f>
        <v>#VALUE!</v>
      </c>
      <c r="CA51" s="294" t="e">
        <f>1000*BZ51/$K51+BX51*1000000000/('1a. Spredningsmodell input'!$B$45*1000)</f>
        <v>#VALUE!</v>
      </c>
      <c r="CB51" s="294" t="e">
        <f t="shared" si="4"/>
        <v>#VALUE!</v>
      </c>
      <c r="CC51" s="294" t="e">
        <f>BX51*1000000000/('1a. Spredningsmodell input'!$B$45*1000)</f>
        <v>#VALUE!</v>
      </c>
      <c r="CD51" s="294" t="e">
        <f>V51+'1a. Spredningsmodell input'!$C$35</f>
        <v>#VALUE!</v>
      </c>
      <c r="CE51" s="294" t="e">
        <f>($S51+$Q51*($O51+$I51*($D51*(1-Stoff!$P51))*(1-EXP(-($F51+Stoff!$L51*365)*CD51)))*(1-EXP(-($N51+Stoff!$M51*365)*CD51)))</f>
        <v>#VALUE!</v>
      </c>
      <c r="CF51" s="294" t="e">
        <f t="shared" si="5"/>
        <v>#VALUE!</v>
      </c>
      <c r="CG51" s="296" t="e">
        <f>(CF51/1000000)*'1a. Spredningsmodell input'!$B$49*'1a. Spredningsmodell input'!$C$35</f>
        <v>#VALUE!</v>
      </c>
      <c r="CH51" s="294" t="e">
        <f t="shared" si="17"/>
        <v>#VALUE!</v>
      </c>
      <c r="CI51" s="290" t="e">
        <f>(CH51/1000000)*'1a. Spredningsmodell input'!$B$49*'1a. Spredningsmodell input'!$C$35</f>
        <v>#VALUE!</v>
      </c>
      <c r="CJ51" s="297" t="e">
        <f>($S51)*EXP(-(Stoff!$N51*365+$U51)*CD51)+CG51</f>
        <v>#VALUE!</v>
      </c>
      <c r="CK51" s="297" t="e">
        <f>(Stoff!$P51*$S51+CI51)*EXP(-$T51*CD51)</f>
        <v>#VALUE!</v>
      </c>
      <c r="CL51" s="297" t="e">
        <f>(CJ51+CK51)*1000000000/('1a. Spredningsmodell input'!$C$36*1000)</f>
        <v>#VALUE!</v>
      </c>
      <c r="CM51" s="297" t="e">
        <f>$G51*(1-EXP(-'1a. Spredningsmodell input'!$B$43*Mellomregninger!CD51))*(1-EXP(-'1a. Spredningsmodell input'!$B$46*Mellomregninger!CD51))</f>
        <v>#VALUE!</v>
      </c>
      <c r="CN51" s="297"/>
      <c r="CO51" s="297"/>
      <c r="CP51" s="290">
        <f>IF(ISNUMBER(AH51),AH51+'1a. Spredningsmodell input'!$C$35,'1a. Spredningsmodell input'!$C$35)</f>
        <v>1</v>
      </c>
      <c r="CQ51" s="294" t="e">
        <f>($S51+$Q51*($O51+$I51*($D51*(1-Stoff!$P51))*(1-EXP(-($F51+Stoff!$L51*365)*CP51)))*(1-EXP(-($N51+Stoff!$M51*365)*CP51)))</f>
        <v>#VALUE!</v>
      </c>
      <c r="CR51" s="294" t="e">
        <f t="shared" si="6"/>
        <v>#VALUE!</v>
      </c>
      <c r="CS51" s="296" t="e">
        <f>(CR51/1000000)*('1a. Spredningsmodell input'!$B$49*'1a. Spredningsmodell input'!$C$35)</f>
        <v>#VALUE!</v>
      </c>
      <c r="CT51" s="294" t="e">
        <f t="shared" si="7"/>
        <v>#VALUE!</v>
      </c>
      <c r="CU51" s="290" t="e">
        <f>(CT51/1000000)*('1a. Spredningsmodell input'!$B$49)*'1a. Spredningsmodell input'!$C$35</f>
        <v>#VALUE!</v>
      </c>
      <c r="CV51" s="297" t="e">
        <f>($S51)*EXP(-(Stoff!$N51*365+$U51)*CP51)+CS51</f>
        <v>#VALUE!</v>
      </c>
      <c r="CW51" s="297" t="e">
        <f>(Stoff!$P51*$S51+CU51)*EXP(-$T51*CP51)</f>
        <v>#VALUE!</v>
      </c>
      <c r="CX51" s="297">
        <f>IF(ISERROR(CV51),0,(CV51+CW51)*1000000000/('1a. Spredningsmodell input'!$C$36*1000))</f>
        <v>0</v>
      </c>
      <c r="CY51" s="297" t="e">
        <f>$G51*(1-EXP(-'1a. Spredningsmodell input'!$B$43*Mellomregninger!CP51))*(1-EXP(-'1a. Spredningsmodell input'!$B$46*Mellomregninger!CP51))</f>
        <v>#VALUE!</v>
      </c>
      <c r="CZ51" s="297"/>
      <c r="DA51" s="297"/>
      <c r="DB51" s="262">
        <f t="shared" si="28"/>
        <v>5</v>
      </c>
      <c r="DC51" s="298" t="e">
        <f>($S51+$Q51*($O51+$I51*($D51*(1-Stoff!$P51))*(1-EXP(-($F51+Stoff!$L51*365)*DB51)))*(1-EXP(-($N51+Stoff!$M51*365)*DB51)))</f>
        <v>#VALUE!</v>
      </c>
      <c r="DD51" s="294" t="e">
        <f t="shared" si="8"/>
        <v>#VALUE!</v>
      </c>
      <c r="DE51" s="296" t="e">
        <f>(DD51/1000000)*('1a. Spredningsmodell input'!$B$49)*'1a. Spredningsmodell input'!$C$35</f>
        <v>#VALUE!</v>
      </c>
      <c r="DF51" s="294" t="e">
        <f t="shared" si="19"/>
        <v>#VALUE!</v>
      </c>
      <c r="DG51" s="290" t="e">
        <f>(DF51/1000000)*('1a. Spredningsmodell input'!$B$49)*'1a. Spredningsmodell input'!$C$35</f>
        <v>#VALUE!</v>
      </c>
      <c r="DH51" s="297" t="e">
        <f>($S51)*EXP(-(Stoff!$N51*365+$U51)*DB51)+DE51</f>
        <v>#VALUE!</v>
      </c>
      <c r="DI51" s="297" t="e">
        <f>(Stoff!$P51*$S51+DG51)*EXP(-$T51*DB51)</f>
        <v>#VALUE!</v>
      </c>
      <c r="DJ51" s="297" t="e">
        <f>(DH51+DI51)*1000000000/('1a. Spredningsmodell input'!$C$36*1000)</f>
        <v>#VALUE!</v>
      </c>
      <c r="DK51" s="297" t="e">
        <f>$G51*(1-EXP(-'1a. Spredningsmodell input'!$B$43*Mellomregninger!DB51))*(1-EXP(-'1a. Spredningsmodell input'!$B$46*Mellomregninger!DB51))</f>
        <v>#VALUE!</v>
      </c>
      <c r="DL51" s="297"/>
      <c r="DM51" s="297"/>
      <c r="DN51" s="262">
        <f t="shared" si="29"/>
        <v>20</v>
      </c>
      <c r="DO51" s="298" t="e">
        <f>($S51+$Q51*($O51+$I51*($D51*(1-Stoff!$P51))*(1-EXP(-($F51+Stoff!$L51*365)*DN51)))*(1-EXP(-($N51+Stoff!$M51*365)*DN51)))</f>
        <v>#VALUE!</v>
      </c>
      <c r="DP51" s="294" t="e">
        <f t="shared" si="21"/>
        <v>#VALUE!</v>
      </c>
      <c r="DQ51" s="296" t="e">
        <f>(DP51/1000000)*('1a. Spredningsmodell input'!$B$49)*'1a. Spredningsmodell input'!$C$35</f>
        <v>#VALUE!</v>
      </c>
      <c r="DR51" s="294" t="e">
        <f t="shared" si="9"/>
        <v>#VALUE!</v>
      </c>
      <c r="DS51" s="290" t="e">
        <f>(DR51/1000000)*('1a. Spredningsmodell input'!$B$49)*'1a. Spredningsmodell input'!$C$35</f>
        <v>#VALUE!</v>
      </c>
      <c r="DT51" s="297" t="e">
        <f>($S51)*EXP(-(Stoff!$N51*365+$U51)*DN51)+DQ51</f>
        <v>#VALUE!</v>
      </c>
      <c r="DU51" s="297" t="e">
        <f>(Stoff!$P51*$S51+DS51)*EXP(-$T51*DN51)</f>
        <v>#VALUE!</v>
      </c>
      <c r="DV51" s="297" t="e">
        <f>(DT51+DU51)*1000000000/('1a. Spredningsmodell input'!$C$36*1000)</f>
        <v>#VALUE!</v>
      </c>
      <c r="DW51" s="297" t="e">
        <f>$G51*(1-EXP(-'1a. Spredningsmodell input'!$B$43*Mellomregninger!DN51))*(1-EXP(-'1a. Spredningsmodell input'!$B$46*Mellomregninger!DN51))</f>
        <v>#VALUE!</v>
      </c>
      <c r="DX51" s="297"/>
      <c r="DY51" s="297"/>
      <c r="DZ51" s="262">
        <f t="shared" si="30"/>
        <v>100</v>
      </c>
      <c r="EA51" s="298" t="e">
        <f>($S51+$Q51*($O51+$I51*($D51*(1-Stoff!$P51))*(1-EXP(-($F51+Stoff!$L51*365)*DZ51)))*(1-EXP(-($N51+Stoff!$M51*365)*DZ51)))</f>
        <v>#VALUE!</v>
      </c>
      <c r="EB51" s="294" t="e">
        <f t="shared" si="10"/>
        <v>#VALUE!</v>
      </c>
      <c r="EC51" s="296" t="e">
        <f>(EB51/1000000)*('1a. Spredningsmodell input'!$B$49)*'1a. Spredningsmodell input'!$C$35</f>
        <v>#VALUE!</v>
      </c>
      <c r="ED51" s="294" t="e">
        <f t="shared" si="11"/>
        <v>#VALUE!</v>
      </c>
      <c r="EE51" s="290" t="e">
        <f>(ED51/1000000)*('1a. Spredningsmodell input'!$B$49)*'1a. Spredningsmodell input'!$C$35</f>
        <v>#VALUE!</v>
      </c>
      <c r="EF51" s="297" t="e">
        <f>($S51)*EXP(-(Stoff!$N51*365+$U51)*DZ51)+EC51</f>
        <v>#VALUE!</v>
      </c>
      <c r="EG51" s="297" t="e">
        <f>(Stoff!$P51*$S51+EE51)*EXP(-$T51*DZ51)</f>
        <v>#VALUE!</v>
      </c>
      <c r="EH51" s="297" t="e">
        <f>(EF51+EG51)*1000000000/('1a. Spredningsmodell input'!$C$36*1000)</f>
        <v>#VALUE!</v>
      </c>
      <c r="EI51" s="297" t="e">
        <f>$G51*(1-EXP(-'1a. Spredningsmodell input'!$B$43*Mellomregninger!DZ51))*(1-EXP(-'1a. Spredningsmodell input'!$B$46*Mellomregninger!DZ51))</f>
        <v>#VALUE!</v>
      </c>
      <c r="EJ51" s="297"/>
      <c r="EK51" s="297"/>
      <c r="EL51" s="262">
        <f t="shared" si="31"/>
        <v>1.0000000000000001E+25</v>
      </c>
      <c r="EM51" s="294" t="e">
        <f>($S51+$Q51*($O51+$I51*($D51*(1-Stoff!$P51))*(1-EXP(-($F51+Stoff!$L51*365)*EL51)))*(1-EXP(-($N51+Stoff!$M51*365)*EL51)))</f>
        <v>#VALUE!</v>
      </c>
      <c r="EN51" s="296" t="e">
        <f>($S51+$Q51*($O51+$I51*($D51*(1-Stoff!$P51))*(1-EXP(-($F51+Stoff!$L51*365)*(EL51-'1a. Spredningsmodell input'!$C$35))))*(1-EXP(-($N51+Stoff!$M51*365)*(EL51-'1a. Spredningsmodell input'!$C$35))))</f>
        <v>#VALUE!</v>
      </c>
      <c r="EO51" s="294" t="e">
        <f>IF(EL51&lt;'1a. Spredningsmodell input'!$C$35,EM51-($S51)*EXP(-(Stoff!$N51*365+$U51)*EL51),EM51-EN51)</f>
        <v>#VALUE!</v>
      </c>
      <c r="EP51" s="290" t="e">
        <f>((($D51*(Stoff!$P51))*(1-EXP(-'1a. Spredningsmodell input'!$B$43*EL51)))*(1-EXP(-'1a. Spredningsmodell input'!$B$46*EL51)))</f>
        <v>#VALUE!</v>
      </c>
      <c r="EQ51" s="294" t="e">
        <f>((($D51*(Stoff!$P51))*(1-EXP(-'1a. Spredningsmodell input'!$B$43*(EL51-'1a. Spredningsmodell input'!$C$35))))*(1-EXP(-'1a. Spredningsmodell input'!$B$46*(EL51-'1a. Spredningsmodell input'!$C$35))))</f>
        <v>#VALUE!</v>
      </c>
      <c r="ER51" s="290" t="e">
        <f>IF(EL51&lt;'1a. Spredningsmodell input'!$C$35,0,EP51-EQ51)</f>
        <v>#VALUE!</v>
      </c>
      <c r="ES51" s="297" t="e">
        <f>($S51)*EXP(-(Stoff!$N51*365+$U51)*EL51)+EO51</f>
        <v>#VALUE!</v>
      </c>
      <c r="ET51" s="297" t="e">
        <f>(Stoff!$P51*$S51+ER51)*EXP(-$T51*EL51)</f>
        <v>#VALUE!</v>
      </c>
      <c r="EU51" s="297" t="e">
        <f>(ES51+ET51)*1000000000/('1a. Spredningsmodell input'!$C$36*1000)</f>
        <v>#VALUE!</v>
      </c>
      <c r="EV51" s="262" t="e">
        <f t="shared" si="32"/>
        <v>#VALUE!</v>
      </c>
      <c r="EW51" s="299" t="e">
        <f t="shared" si="33"/>
        <v>#VALUE!</v>
      </c>
      <c r="EX51" s="262" t="e">
        <f t="shared" si="34"/>
        <v>#VALUE!</v>
      </c>
    </row>
    <row r="52" spans="1:154" x14ac:dyDescent="0.35">
      <c r="A52" s="50" t="s">
        <v>158</v>
      </c>
      <c r="B52" s="34" t="str">
        <f>IF(ISNUMBER('1c. Kons. porevann'!E52),1000*'1c. Kons. porevann'!E52,IF(ISNUMBER('1b. Kons. umettet jord'!E52),1000*'1b. Kons. umettet jord'!E52/C52,""))</f>
        <v/>
      </c>
      <c r="C52" s="244">
        <f>IF(Stoff!B52="uorganisk",Stoff!C52,Stoff!D52*'1a. Spredningsmodell input'!$C$11)</f>
        <v>8317.64</v>
      </c>
      <c r="D52" s="34" t="str">
        <f>IF(ISNUMBER(B52),0.000001*('1b. Kons. umettet jord'!G52*'1a. Spredningsmodell input'!$C$12+B52*0.001*'1a. Spredningsmodell input'!$C$14)*1000*'1a. Spredningsmodell input'!$B$41*'1a. Spredningsmodell input'!$C$18,"")</f>
        <v/>
      </c>
      <c r="E52" s="283">
        <f>C52*'1a. Spredningsmodell input'!$C$12/'1a. Spredningsmodell input'!$C$14+1</f>
        <v>70700.939999999988</v>
      </c>
      <c r="F52" s="284">
        <f>'1a. Spredningsmodell input'!$B$43/E52</f>
        <v>2.1216125273581935E-5</v>
      </c>
      <c r="G52" s="34" t="e">
        <f>Stoff!P52*Mellomregninger!D52</f>
        <v>#VALUE!</v>
      </c>
      <c r="H52" s="283" t="e">
        <f>(D52-G52)*(F52/(F52+Stoff!L52))</f>
        <v>#VALUE!</v>
      </c>
      <c r="I52" s="283">
        <f>F52/(F52+Stoff!L52)</f>
        <v>1</v>
      </c>
      <c r="J52" s="285" t="str">
        <f>IF(B52="","",IF(ISNUMBER('1d. Kons. mettet sone'!E52),'1d. Kons. mettet sone'!E52,IF(ISNUMBER('1e. Kons. grunnvann'!E52),'1e. Kons. grunnvann'!E52*Mellomregninger!K52,0)))</f>
        <v/>
      </c>
      <c r="K52" s="286">
        <f>IF(Stoff!B52="uorganisk",Stoff!C52,Stoff!D52*'1a. Spredningsmodell input'!$C$24)</f>
        <v>831.76400000000001</v>
      </c>
      <c r="L52" s="27" t="e">
        <f>IF(ISNUMBER('1e. Kons. grunnvann'!E52),1000*'1e. Kons. grunnvann'!E52,1000*J52/K52)</f>
        <v>#VALUE!</v>
      </c>
      <c r="M52" s="34">
        <f>K52*'1a. Spredningsmodell input'!$C$25/'1a. Spredningsmodell input'!$C$26+1</f>
        <v>3535.9969999999998</v>
      </c>
      <c r="N52" s="284">
        <f>'1a. Spredningsmodell input'!$C$26/M52</f>
        <v>1.1312226792047619E-4</v>
      </c>
      <c r="O52" s="287" t="e">
        <f>0.000000001*(J52*'1a. Spredningsmodell input'!$C$25+L52)*1000*'1a. Spredningsmodell input'!$B$45</f>
        <v>#VALUE!</v>
      </c>
      <c r="P52" s="287" t="e">
        <f>O52*Stoff!P52</f>
        <v>#VALUE!</v>
      </c>
      <c r="Q52" s="287">
        <f>N52/(N52+Stoff!M52)</f>
        <v>1</v>
      </c>
      <c r="R52" s="288">
        <f>IF(ISNUMBER('1f. Kons. resipient'!E52),'1f. Kons. resipient'!E52,0)</f>
        <v>0</v>
      </c>
      <c r="S52" s="288">
        <f>0.000000001*'1a. Spredningsmodell input'!$C$36*R52*1000</f>
        <v>0</v>
      </c>
      <c r="T52" s="288">
        <f>1/'1a. Spredningsmodell input'!$C$35</f>
        <v>1</v>
      </c>
      <c r="U52" s="288">
        <f>1/'1a. Spredningsmodell input'!$C$35</f>
        <v>1</v>
      </c>
      <c r="V52" s="300" t="e">
        <f>(1/($N52+Stoff!$L52))*(LN(($D52*$I52/($D52*$I52+$J52))*($F52+Stoff!$L52+$N52+Stoff!$M52)/($N52+Stoff!$M52)))</f>
        <v>#VALUE!</v>
      </c>
      <c r="W52" s="290" t="e">
        <f>($D52-Stoff!$P52*$D52)*EXP(-($F52+Stoff!$L52*365)*V52)</f>
        <v>#VALUE!</v>
      </c>
      <c r="X52" s="291" t="e">
        <f>(Stoff!$P52*$D52)*EXP(-'1a. Spredningsmodell input'!$B$43*V52)</f>
        <v>#VALUE!</v>
      </c>
      <c r="Y52" s="290" t="e">
        <f>($D52-Stoff!$P52*$D52-W52)*($F52/($F52+Stoff!$L52*365))</f>
        <v>#VALUE!</v>
      </c>
      <c r="Z52" s="290" t="e">
        <f>(Stoff!$P52*$D52)-X52</f>
        <v>#VALUE!</v>
      </c>
      <c r="AA52" s="290" t="e">
        <f>($O52+Y52)*EXP(-($N52+Stoff!$M52*365)*V52)</f>
        <v>#VALUE!</v>
      </c>
      <c r="AB52" s="290" t="e">
        <f>(Stoff!$P52*$O52+Z52)*EXP(-('1a. Spredningsmodell input'!$B$46)*V52)</f>
        <v>#VALUE!</v>
      </c>
      <c r="AC52" s="292" t="e">
        <f>((AA52+AB52)*1000000000)/('1a. Spredningsmodell input'!$B$45*1000)</f>
        <v>#VALUE!</v>
      </c>
      <c r="AD52" s="294" t="e">
        <f>0.001*AC52/('1a. Spredningsmodell input'!$C$25+'1a. Spredningsmodell input'!$C$26/Mellomregninger!$K52)</f>
        <v>#VALUE!</v>
      </c>
      <c r="AE52" s="294" t="e">
        <f>1000*AD52/$K52+AB52*1000000000/('1a. Spredningsmodell input'!$B$45*1000)</f>
        <v>#VALUE!</v>
      </c>
      <c r="AF52" s="294" t="e">
        <f t="shared" si="0"/>
        <v>#VALUE!</v>
      </c>
      <c r="AG52" s="294" t="e">
        <f>AB52*1000000000/('1a. Spredningsmodell input'!$B$45*1000)</f>
        <v>#VALUE!</v>
      </c>
      <c r="AH52" s="300" t="e">
        <f>(1/('1a. Spredningsmodell input'!$B$46))*(LN(($D52*Stoff!$P52/($D52*Stoff!$P52+$P52*Stoff!$P52))*('1a. Spredningsmodell input'!$B$43+'1a. Spredningsmodell input'!$B$46)/('1a. Spredningsmodell input'!$B$46)))</f>
        <v>#VALUE!</v>
      </c>
      <c r="AI52" s="290" t="e">
        <f>($D52-Stoff!$P52*$D52)*EXP(-($F52+Stoff!$L52*365)*AH52)</f>
        <v>#VALUE!</v>
      </c>
      <c r="AJ52" s="291" t="e">
        <f>(Stoff!$P52*$D52)*EXP(-'1a. Spredningsmodell input'!$B$43*AH52)</f>
        <v>#VALUE!</v>
      </c>
      <c r="AK52" s="290" t="e">
        <f>($D52-Stoff!$P52*$D52-AI52)*($F52/($F52+Stoff!$L52*365))</f>
        <v>#VALUE!</v>
      </c>
      <c r="AL52" s="290" t="e">
        <f>(Stoff!$P52*$D52)-AJ52</f>
        <v>#VALUE!</v>
      </c>
      <c r="AM52" s="290" t="e">
        <f>($O52+AK52)*EXP(-($N52+Stoff!$M52*365)*AH52)</f>
        <v>#VALUE!</v>
      </c>
      <c r="AN52" s="290" t="e">
        <f>(Stoff!$P52*$O52+AL52)*EXP(-('1a. Spredningsmodell input'!$B$46)*AH52)</f>
        <v>#VALUE!</v>
      </c>
      <c r="AO52" s="292" t="e">
        <f>((AM52+AN52)*1000000000)/('1a. Spredningsmodell input'!$B$45*1000)</f>
        <v>#VALUE!</v>
      </c>
      <c r="AP52" s="294" t="e">
        <f>0.001*AO52/('1a. Spredningsmodell input'!$C$25+'1a. Spredningsmodell input'!$C$26/Mellomregninger!$K52)</f>
        <v>#VALUE!</v>
      </c>
      <c r="AQ52" s="294" t="e">
        <f>1000*AP52/$K52+AN52*1000000000/('1a. Spredningsmodell input'!$B$45*1000)</f>
        <v>#VALUE!</v>
      </c>
      <c r="AR52" s="294" t="e">
        <f t="shared" si="1"/>
        <v>#VALUE!</v>
      </c>
      <c r="AS52" s="294" t="e">
        <f>AN52*1000000000/('1a. Spredningsmodell input'!$B$45*1000)</f>
        <v>#VALUE!</v>
      </c>
      <c r="AT52" s="295">
        <f t="shared" si="25"/>
        <v>5</v>
      </c>
      <c r="AU52" s="290" t="e">
        <f>($D52-Stoff!$P52*$D52)*EXP(-($F52+Stoff!$L52*365)*AT52)</f>
        <v>#VALUE!</v>
      </c>
      <c r="AV52" s="291" t="e">
        <f>(Stoff!$P52*$D52)*EXP(-'1a. Spredningsmodell input'!$B$43*AT52)</f>
        <v>#VALUE!</v>
      </c>
      <c r="AW52" s="290" t="e">
        <f>($D52-Stoff!$P52*$D52-AU52)*($F52/($F52+Stoff!$L52*365))</f>
        <v>#VALUE!</v>
      </c>
      <c r="AX52" s="290" t="e">
        <f>(Stoff!$P52*$D52)-AV52</f>
        <v>#VALUE!</v>
      </c>
      <c r="AY52" s="290" t="e">
        <f>($O52+AW52)*EXP(-($N52+Stoff!$M52*365)*AT52)</f>
        <v>#VALUE!</v>
      </c>
      <c r="AZ52" s="290" t="e">
        <f>(Stoff!$P52*$O52+AX52)*EXP(-('1a. Spredningsmodell input'!$B$46)*AT52)</f>
        <v>#VALUE!</v>
      </c>
      <c r="BA52" s="292" t="e">
        <f>((AY52+AZ52)*1000000000)/('1a. Spredningsmodell input'!$B$45*1000)</f>
        <v>#VALUE!</v>
      </c>
      <c r="BB52" s="294" t="e">
        <f>0.001*BA52/('1a. Spredningsmodell input'!$C$25+'1a. Spredningsmodell input'!$C$26/Mellomregninger!$K52)</f>
        <v>#VALUE!</v>
      </c>
      <c r="BC52" s="294" t="e">
        <f>1000*BB52/$K52+AZ52*1000000000/('1a. Spredningsmodell input'!$B$45*1000)</f>
        <v>#VALUE!</v>
      </c>
      <c r="BD52" s="294" t="e">
        <f t="shared" si="2"/>
        <v>#VALUE!</v>
      </c>
      <c r="BE52" s="294" t="e">
        <f>AZ52*1000000000/('1a. Spredningsmodell input'!$B$45*1000)</f>
        <v>#VALUE!</v>
      </c>
      <c r="BF52" s="295">
        <f t="shared" si="26"/>
        <v>20</v>
      </c>
      <c r="BG52" s="290" t="e">
        <f>($D52-Stoff!$P52*$D52)*EXP(-($F52+Stoff!$L52*365)*BF52)</f>
        <v>#VALUE!</v>
      </c>
      <c r="BH52" s="291" t="e">
        <f>(Stoff!$P52*$D52)*EXP(-'1a. Spredningsmodell input'!$B$43*BF52)</f>
        <v>#VALUE!</v>
      </c>
      <c r="BI52" s="290" t="e">
        <f>($D52-Stoff!$P52*$D52-BG52)*($F52/($F52+Stoff!$L52*365))</f>
        <v>#VALUE!</v>
      </c>
      <c r="BJ52" s="290" t="e">
        <f>(Stoff!$P52*$D52)-BH52</f>
        <v>#VALUE!</v>
      </c>
      <c r="BK52" s="290" t="e">
        <f>($O52+BI52)*EXP(-($N52+Stoff!$M52*365)*BF52)</f>
        <v>#VALUE!</v>
      </c>
      <c r="BL52" s="290" t="e">
        <f>(Stoff!$P52*$O52+BJ52)*EXP(-('1a. Spredningsmodell input'!$B$46)*BF52)</f>
        <v>#VALUE!</v>
      </c>
      <c r="BM52" s="292" t="e">
        <f>((BK52+BL52)*1000000000)/('1a. Spredningsmodell input'!$B$45*1000)</f>
        <v>#VALUE!</v>
      </c>
      <c r="BN52" s="294" t="e">
        <f>0.001*BM52/('1a. Spredningsmodell input'!$C$25+'1a. Spredningsmodell input'!$C$26/Mellomregninger!$K52)</f>
        <v>#VALUE!</v>
      </c>
      <c r="BO52" s="294" t="e">
        <f>1000*BN52/$K52+BL52*1000000000/('1a. Spredningsmodell input'!$B$45*1000)</f>
        <v>#VALUE!</v>
      </c>
      <c r="BP52" s="294" t="e">
        <f t="shared" si="3"/>
        <v>#VALUE!</v>
      </c>
      <c r="BQ52" s="294" t="e">
        <f>BL52*1000000000/('1a. Spredningsmodell input'!$B$45*1000)</f>
        <v>#VALUE!</v>
      </c>
      <c r="BR52" s="295">
        <f t="shared" si="27"/>
        <v>100</v>
      </c>
      <c r="BS52" s="290" t="e">
        <f>($D52-Stoff!$P52*$D52)*EXP(-($F52+Stoff!$L52*365)*BR52)</f>
        <v>#VALUE!</v>
      </c>
      <c r="BT52" s="291" t="e">
        <f>(Stoff!$P52*$D52)*EXP(-'1a. Spredningsmodell input'!$B$43*BR52)</f>
        <v>#VALUE!</v>
      </c>
      <c r="BU52" s="290" t="e">
        <f>($D52-Stoff!$P52*$D52-BS52)*($F52/($F52+Stoff!$L52*365))</f>
        <v>#VALUE!</v>
      </c>
      <c r="BV52" s="290" t="e">
        <f>(Stoff!$P52*$D52)-BT52</f>
        <v>#VALUE!</v>
      </c>
      <c r="BW52" s="290" t="e">
        <f>($O52+BU52)*EXP(-($N52+Stoff!$M52*365)*BR52)</f>
        <v>#VALUE!</v>
      </c>
      <c r="BX52" s="290" t="e">
        <f>(Stoff!$P52*$O52+BV52)*EXP(-('1a. Spredningsmodell input'!$B$46)*BR52)</f>
        <v>#VALUE!</v>
      </c>
      <c r="BY52" s="292" t="e">
        <f>((BW52+BX52)*1000000000)/('1a. Spredningsmodell input'!$B$45*1000)</f>
        <v>#VALUE!</v>
      </c>
      <c r="BZ52" s="294" t="e">
        <f>0.001*BY52/('1a. Spredningsmodell input'!$C$25+'1a. Spredningsmodell input'!$C$26/Mellomregninger!$K52)</f>
        <v>#VALUE!</v>
      </c>
      <c r="CA52" s="294" t="e">
        <f>1000*BZ52/$K52+BX52*1000000000/('1a. Spredningsmodell input'!$B$45*1000)</f>
        <v>#VALUE!</v>
      </c>
      <c r="CB52" s="294" t="e">
        <f t="shared" si="4"/>
        <v>#VALUE!</v>
      </c>
      <c r="CC52" s="294" t="e">
        <f>BX52*1000000000/('1a. Spredningsmodell input'!$B$45*1000)</f>
        <v>#VALUE!</v>
      </c>
      <c r="CD52" s="294" t="e">
        <f>V52+'1a. Spredningsmodell input'!$C$35</f>
        <v>#VALUE!</v>
      </c>
      <c r="CE52" s="294" t="e">
        <f>($S52+$Q52*($O52+$I52*($D52*(1-Stoff!$P52))*(1-EXP(-($F52+Stoff!$L52*365)*CD52)))*(1-EXP(-($N52+Stoff!$M52*365)*CD52)))</f>
        <v>#VALUE!</v>
      </c>
      <c r="CF52" s="294" t="e">
        <f t="shared" si="5"/>
        <v>#VALUE!</v>
      </c>
      <c r="CG52" s="296" t="e">
        <f>(CF52/1000000)*'1a. Spredningsmodell input'!$B$49*'1a. Spredningsmodell input'!$C$35</f>
        <v>#VALUE!</v>
      </c>
      <c r="CH52" s="294" t="e">
        <f t="shared" si="17"/>
        <v>#VALUE!</v>
      </c>
      <c r="CI52" s="290" t="e">
        <f>(CH52/1000000)*'1a. Spredningsmodell input'!$B$49*'1a. Spredningsmodell input'!$C$35</f>
        <v>#VALUE!</v>
      </c>
      <c r="CJ52" s="297" t="e">
        <f>($S52)*EXP(-(Stoff!$N52*365+$U52)*CD52)+CG52</f>
        <v>#VALUE!</v>
      </c>
      <c r="CK52" s="297" t="e">
        <f>(Stoff!$P52*$S52+CI52)*EXP(-$T52*CD52)</f>
        <v>#VALUE!</v>
      </c>
      <c r="CL52" s="297" t="e">
        <f>(CJ52+CK52)*1000000000/('1a. Spredningsmodell input'!$C$36*1000)</f>
        <v>#VALUE!</v>
      </c>
      <c r="CM52" s="297" t="e">
        <f>$G52*(1-EXP(-'1a. Spredningsmodell input'!$B$43*Mellomregninger!CD52))*(1-EXP(-'1a. Spredningsmodell input'!$B$46*Mellomregninger!CD52))</f>
        <v>#VALUE!</v>
      </c>
      <c r="CN52" s="297"/>
      <c r="CO52" s="297"/>
      <c r="CP52" s="290">
        <f>IF(ISNUMBER(AH52),AH52+'1a. Spredningsmodell input'!$C$35,'1a. Spredningsmodell input'!$C$35)</f>
        <v>1</v>
      </c>
      <c r="CQ52" s="294" t="e">
        <f>($S52+$Q52*($O52+$I52*($D52*(1-Stoff!$P52))*(1-EXP(-($F52+Stoff!$L52*365)*CP52)))*(1-EXP(-($N52+Stoff!$M52*365)*CP52)))</f>
        <v>#VALUE!</v>
      </c>
      <c r="CR52" s="294" t="e">
        <f t="shared" si="6"/>
        <v>#VALUE!</v>
      </c>
      <c r="CS52" s="296" t="e">
        <f>(CR52/1000000)*('1a. Spredningsmodell input'!$B$49*'1a. Spredningsmodell input'!$C$35)</f>
        <v>#VALUE!</v>
      </c>
      <c r="CT52" s="294" t="e">
        <f t="shared" si="7"/>
        <v>#VALUE!</v>
      </c>
      <c r="CU52" s="290" t="e">
        <f>(CT52/1000000)*('1a. Spredningsmodell input'!$B$49)*'1a. Spredningsmodell input'!$C$35</f>
        <v>#VALUE!</v>
      </c>
      <c r="CV52" s="297" t="e">
        <f>($S52)*EXP(-(Stoff!$N52*365+$U52)*CP52)+CS52</f>
        <v>#VALUE!</v>
      </c>
      <c r="CW52" s="297" t="e">
        <f>(Stoff!$P52*$S52+CU52)*EXP(-$T52*CP52)</f>
        <v>#VALUE!</v>
      </c>
      <c r="CX52" s="297">
        <f>IF(ISERROR(CV52),0,(CV52+CW52)*1000000000/('1a. Spredningsmodell input'!$C$36*1000))</f>
        <v>0</v>
      </c>
      <c r="CY52" s="297" t="e">
        <f>$G52*(1-EXP(-'1a. Spredningsmodell input'!$B$43*Mellomregninger!CP52))*(1-EXP(-'1a. Spredningsmodell input'!$B$46*Mellomregninger!CP52))</f>
        <v>#VALUE!</v>
      </c>
      <c r="CZ52" s="297"/>
      <c r="DA52" s="297"/>
      <c r="DB52" s="262">
        <f t="shared" si="28"/>
        <v>5</v>
      </c>
      <c r="DC52" s="298" t="e">
        <f>($S52+$Q52*($O52+$I52*($D52*(1-Stoff!$P52))*(1-EXP(-($F52+Stoff!$L52*365)*DB52)))*(1-EXP(-($N52+Stoff!$M52*365)*DB52)))</f>
        <v>#VALUE!</v>
      </c>
      <c r="DD52" s="294" t="e">
        <f t="shared" si="8"/>
        <v>#VALUE!</v>
      </c>
      <c r="DE52" s="296" t="e">
        <f>(DD52/1000000)*('1a. Spredningsmodell input'!$B$49)*'1a. Spredningsmodell input'!$C$35</f>
        <v>#VALUE!</v>
      </c>
      <c r="DF52" s="294" t="e">
        <f t="shared" si="19"/>
        <v>#VALUE!</v>
      </c>
      <c r="DG52" s="290" t="e">
        <f>(DF52/1000000)*('1a. Spredningsmodell input'!$B$49)*'1a. Spredningsmodell input'!$C$35</f>
        <v>#VALUE!</v>
      </c>
      <c r="DH52" s="297" t="e">
        <f>($S52)*EXP(-(Stoff!$N52*365+$U52)*DB52)+DE52</f>
        <v>#VALUE!</v>
      </c>
      <c r="DI52" s="297" t="e">
        <f>(Stoff!$P52*$S52+DG52)*EXP(-$T52*DB52)</f>
        <v>#VALUE!</v>
      </c>
      <c r="DJ52" s="297" t="e">
        <f>(DH52+DI52)*1000000000/('1a. Spredningsmodell input'!$C$36*1000)</f>
        <v>#VALUE!</v>
      </c>
      <c r="DK52" s="297" t="e">
        <f>$G52*(1-EXP(-'1a. Spredningsmodell input'!$B$43*Mellomregninger!DB52))*(1-EXP(-'1a. Spredningsmodell input'!$B$46*Mellomregninger!DB52))</f>
        <v>#VALUE!</v>
      </c>
      <c r="DL52" s="297"/>
      <c r="DM52" s="297"/>
      <c r="DN52" s="262">
        <f t="shared" si="29"/>
        <v>20</v>
      </c>
      <c r="DO52" s="298" t="e">
        <f>($S52+$Q52*($O52+$I52*($D52*(1-Stoff!$P52))*(1-EXP(-($F52+Stoff!$L52*365)*DN52)))*(1-EXP(-($N52+Stoff!$M52*365)*DN52)))</f>
        <v>#VALUE!</v>
      </c>
      <c r="DP52" s="294" t="e">
        <f t="shared" si="21"/>
        <v>#VALUE!</v>
      </c>
      <c r="DQ52" s="296" t="e">
        <f>(DP52/1000000)*('1a. Spredningsmodell input'!$B$49)*'1a. Spredningsmodell input'!$C$35</f>
        <v>#VALUE!</v>
      </c>
      <c r="DR52" s="294" t="e">
        <f t="shared" si="9"/>
        <v>#VALUE!</v>
      </c>
      <c r="DS52" s="290" t="e">
        <f>(DR52/1000000)*('1a. Spredningsmodell input'!$B$49)*'1a. Spredningsmodell input'!$C$35</f>
        <v>#VALUE!</v>
      </c>
      <c r="DT52" s="297" t="e">
        <f>($S52)*EXP(-(Stoff!$N52*365+$U52)*DN52)+DQ52</f>
        <v>#VALUE!</v>
      </c>
      <c r="DU52" s="297" t="e">
        <f>(Stoff!$P52*$S52+DS52)*EXP(-$T52*DN52)</f>
        <v>#VALUE!</v>
      </c>
      <c r="DV52" s="297" t="e">
        <f>(DT52+DU52)*1000000000/('1a. Spredningsmodell input'!$C$36*1000)</f>
        <v>#VALUE!</v>
      </c>
      <c r="DW52" s="297" t="e">
        <f>$G52*(1-EXP(-'1a. Spredningsmodell input'!$B$43*Mellomregninger!DN52))*(1-EXP(-'1a. Spredningsmodell input'!$B$46*Mellomregninger!DN52))</f>
        <v>#VALUE!</v>
      </c>
      <c r="DX52" s="297"/>
      <c r="DY52" s="297"/>
      <c r="DZ52" s="262">
        <f t="shared" si="30"/>
        <v>100</v>
      </c>
      <c r="EA52" s="298" t="e">
        <f>($S52+$Q52*($O52+$I52*($D52*(1-Stoff!$P52))*(1-EXP(-($F52+Stoff!$L52*365)*DZ52)))*(1-EXP(-($N52+Stoff!$M52*365)*DZ52)))</f>
        <v>#VALUE!</v>
      </c>
      <c r="EB52" s="294" t="e">
        <f t="shared" si="10"/>
        <v>#VALUE!</v>
      </c>
      <c r="EC52" s="296" t="e">
        <f>(EB52/1000000)*('1a. Spredningsmodell input'!$B$49)*'1a. Spredningsmodell input'!$C$35</f>
        <v>#VALUE!</v>
      </c>
      <c r="ED52" s="294" t="e">
        <f t="shared" si="11"/>
        <v>#VALUE!</v>
      </c>
      <c r="EE52" s="290" t="e">
        <f>(ED52/1000000)*('1a. Spredningsmodell input'!$B$49)*'1a. Spredningsmodell input'!$C$35</f>
        <v>#VALUE!</v>
      </c>
      <c r="EF52" s="297" t="e">
        <f>($S52)*EXP(-(Stoff!$N52*365+$U52)*DZ52)+EC52</f>
        <v>#VALUE!</v>
      </c>
      <c r="EG52" s="297" t="e">
        <f>(Stoff!$P52*$S52+EE52)*EXP(-$T52*DZ52)</f>
        <v>#VALUE!</v>
      </c>
      <c r="EH52" s="297" t="e">
        <f>(EF52+EG52)*1000000000/('1a. Spredningsmodell input'!$C$36*1000)</f>
        <v>#VALUE!</v>
      </c>
      <c r="EI52" s="297" t="e">
        <f>$G52*(1-EXP(-'1a. Spredningsmodell input'!$B$43*Mellomregninger!DZ52))*(1-EXP(-'1a. Spredningsmodell input'!$B$46*Mellomregninger!DZ52))</f>
        <v>#VALUE!</v>
      </c>
      <c r="EJ52" s="297"/>
      <c r="EK52" s="297"/>
      <c r="EL52" s="262">
        <f t="shared" si="31"/>
        <v>1.0000000000000001E+25</v>
      </c>
      <c r="EM52" s="294" t="e">
        <f>($S52+$Q52*($O52+$I52*($D52*(1-Stoff!$P52))*(1-EXP(-($F52+Stoff!$L52*365)*EL52)))*(1-EXP(-($N52+Stoff!$M52*365)*EL52)))</f>
        <v>#VALUE!</v>
      </c>
      <c r="EN52" s="296" t="e">
        <f>($S52+$Q52*($O52+$I52*($D52*(1-Stoff!$P52))*(1-EXP(-($F52+Stoff!$L52*365)*(EL52-'1a. Spredningsmodell input'!$C$35))))*(1-EXP(-($N52+Stoff!$M52*365)*(EL52-'1a. Spredningsmodell input'!$C$35))))</f>
        <v>#VALUE!</v>
      </c>
      <c r="EO52" s="294" t="e">
        <f>IF(EL52&lt;'1a. Spredningsmodell input'!$C$35,EM52-($S52)*EXP(-(Stoff!$N52*365+$U52)*EL52),EM52-EN52)</f>
        <v>#VALUE!</v>
      </c>
      <c r="EP52" s="290" t="e">
        <f>((($D52*(Stoff!$P52))*(1-EXP(-'1a. Spredningsmodell input'!$B$43*EL52)))*(1-EXP(-'1a. Spredningsmodell input'!$B$46*EL52)))</f>
        <v>#VALUE!</v>
      </c>
      <c r="EQ52" s="294" t="e">
        <f>((($D52*(Stoff!$P52))*(1-EXP(-'1a. Spredningsmodell input'!$B$43*(EL52-'1a. Spredningsmodell input'!$C$35))))*(1-EXP(-'1a. Spredningsmodell input'!$B$46*(EL52-'1a. Spredningsmodell input'!$C$35))))</f>
        <v>#VALUE!</v>
      </c>
      <c r="ER52" s="290" t="e">
        <f>IF(EL52&lt;'1a. Spredningsmodell input'!$C$35,0,EP52-EQ52)</f>
        <v>#VALUE!</v>
      </c>
      <c r="ES52" s="297" t="e">
        <f>($S52)*EXP(-(Stoff!$N52*365+$U52)*EL52)+EO52</f>
        <v>#VALUE!</v>
      </c>
      <c r="ET52" s="297" t="e">
        <f>(Stoff!$P52*$S52+ER52)*EXP(-$T52*EL52)</f>
        <v>#VALUE!</v>
      </c>
      <c r="EU52" s="297" t="e">
        <f>(ES52+ET52)*1000000000/('1a. Spredningsmodell input'!$C$36*1000)</f>
        <v>#VALUE!</v>
      </c>
      <c r="EV52" s="262" t="e">
        <f t="shared" si="32"/>
        <v>#VALUE!</v>
      </c>
      <c r="EW52" s="299" t="e">
        <f t="shared" si="33"/>
        <v>#VALUE!</v>
      </c>
      <c r="EX52" s="262" t="e">
        <f t="shared" si="34"/>
        <v>#VALUE!</v>
      </c>
    </row>
    <row r="53" spans="1:154" x14ac:dyDescent="0.35">
      <c r="A53" s="50" t="s">
        <v>157</v>
      </c>
      <c r="B53" s="34" t="str">
        <f>IF(ISNUMBER('1c. Kons. porevann'!E53),1000*'1c. Kons. porevann'!E53,IF(ISNUMBER('1b. Kons. umettet jord'!E53),1000*'1b. Kons. umettet jord'!E53/C53,""))</f>
        <v/>
      </c>
      <c r="C53" s="244">
        <f>IF(Stoff!B53="uorganisk",Stoff!C53,Stoff!D53*'1a. Spredningsmodell input'!$C$11)</f>
        <v>23442.29</v>
      </c>
      <c r="D53" s="34" t="str">
        <f>IF(ISNUMBER(B53),0.000001*('1b. Kons. umettet jord'!G53*'1a. Spredningsmodell input'!$C$12+B53*0.001*'1a. Spredningsmodell input'!$C$14)*1000*'1a. Spredningsmodell input'!$B$41*'1a. Spredningsmodell input'!$C$18,"")</f>
        <v/>
      </c>
      <c r="E53" s="283">
        <f>C53*'1a. Spredningsmodell input'!$C$12/'1a. Spredningsmodell input'!$C$14+1</f>
        <v>199260.465</v>
      </c>
      <c r="F53" s="284">
        <f>'1a. Spredningsmodell input'!$B$43/E53</f>
        <v>7.527835489092128E-6</v>
      </c>
      <c r="G53" s="34" t="e">
        <f>Stoff!P53*Mellomregninger!D53</f>
        <v>#VALUE!</v>
      </c>
      <c r="H53" s="283" t="e">
        <f>(D53-G53)*(F53/(F53+Stoff!L53))</f>
        <v>#VALUE!</v>
      </c>
      <c r="I53" s="283">
        <f>F53/(F53+Stoff!L53)</f>
        <v>1</v>
      </c>
      <c r="J53" s="285" t="str">
        <f>IF(B53="","",IF(ISNUMBER('1d. Kons. mettet sone'!E53),'1d. Kons. mettet sone'!E53,IF(ISNUMBER('1e. Kons. grunnvann'!E53),'1e. Kons. grunnvann'!E53*Mellomregninger!K53,0)))</f>
        <v/>
      </c>
      <c r="K53" s="286">
        <f>IF(Stoff!B53="uorganisk",Stoff!C53,Stoff!D53*'1a. Spredningsmodell input'!$C$24)</f>
        <v>2344.2290000000003</v>
      </c>
      <c r="L53" s="27" t="e">
        <f>IF(ISNUMBER('1e. Kons. grunnvann'!E53),1000*'1e. Kons. grunnvann'!E53,1000*J53/K53)</f>
        <v>#VALUE!</v>
      </c>
      <c r="M53" s="34">
        <f>K53*'1a. Spredningsmodell input'!$C$25/'1a. Spredningsmodell input'!$C$26+1</f>
        <v>9963.9732500000009</v>
      </c>
      <c r="N53" s="284">
        <f>'1a. Spredningsmodell input'!$C$26/M53</f>
        <v>4.0144628047852298E-5</v>
      </c>
      <c r="O53" s="287" t="e">
        <f>0.000000001*(J53*'1a. Spredningsmodell input'!$C$25+L53)*1000*'1a. Spredningsmodell input'!$B$45</f>
        <v>#VALUE!</v>
      </c>
      <c r="P53" s="287" t="e">
        <f>O53*Stoff!P53</f>
        <v>#VALUE!</v>
      </c>
      <c r="Q53" s="287">
        <f>N53/(N53+Stoff!M53)</f>
        <v>1</v>
      </c>
      <c r="R53" s="288">
        <f>IF(ISNUMBER('1f. Kons. resipient'!E53),'1f. Kons. resipient'!E53,0)</f>
        <v>0</v>
      </c>
      <c r="S53" s="288">
        <f>0.000000001*'1a. Spredningsmodell input'!$C$36*R53*1000</f>
        <v>0</v>
      </c>
      <c r="T53" s="288">
        <f>1/'1a. Spredningsmodell input'!$C$35</f>
        <v>1</v>
      </c>
      <c r="U53" s="288">
        <f>1/'1a. Spredningsmodell input'!$C$35</f>
        <v>1</v>
      </c>
      <c r="V53" s="300" t="e">
        <f>(1/($N53+Stoff!$L53))*(LN(($D53*$I53/($D53*$I53+$J53))*($F53+Stoff!$L53+$N53+Stoff!$M53)/($N53+Stoff!$M53)))</f>
        <v>#VALUE!</v>
      </c>
      <c r="W53" s="290" t="e">
        <f>($D53-Stoff!$P53*$D53)*EXP(-($F53+Stoff!$L53*365)*V53)</f>
        <v>#VALUE!</v>
      </c>
      <c r="X53" s="291" t="e">
        <f>(Stoff!$P53*$D53)*EXP(-'1a. Spredningsmodell input'!$B$43*V53)</f>
        <v>#VALUE!</v>
      </c>
      <c r="Y53" s="290" t="e">
        <f>($D53-Stoff!$P53*$D53-W53)*($F53/($F53+Stoff!$L53*365))</f>
        <v>#VALUE!</v>
      </c>
      <c r="Z53" s="290" t="e">
        <f>(Stoff!$P53*$D53)-X53</f>
        <v>#VALUE!</v>
      </c>
      <c r="AA53" s="290" t="e">
        <f>($O53+Y53)*EXP(-($N53+Stoff!$M53*365)*V53)</f>
        <v>#VALUE!</v>
      </c>
      <c r="AB53" s="290" t="e">
        <f>(Stoff!$P53*$O53+Z53)*EXP(-('1a. Spredningsmodell input'!$B$46)*V53)</f>
        <v>#VALUE!</v>
      </c>
      <c r="AC53" s="292" t="e">
        <f>((AA53+AB53)*1000000000)/('1a. Spredningsmodell input'!$B$45*1000)</f>
        <v>#VALUE!</v>
      </c>
      <c r="AD53" s="294" t="e">
        <f>0.001*AC53/('1a. Spredningsmodell input'!$C$25+'1a. Spredningsmodell input'!$C$26/Mellomregninger!$K53)</f>
        <v>#VALUE!</v>
      </c>
      <c r="AE53" s="294" t="e">
        <f>1000*AD53/$K53+AB53*1000000000/('1a. Spredningsmodell input'!$B$45*1000)</f>
        <v>#VALUE!</v>
      </c>
      <c r="AF53" s="294" t="e">
        <f t="shared" si="0"/>
        <v>#VALUE!</v>
      </c>
      <c r="AG53" s="294" t="e">
        <f>AB53*1000000000/('1a. Spredningsmodell input'!$B$45*1000)</f>
        <v>#VALUE!</v>
      </c>
      <c r="AH53" s="300" t="e">
        <f>(1/('1a. Spredningsmodell input'!$B$46))*(LN(($D53*Stoff!$P53/($D53*Stoff!$P53+$P53*Stoff!$P53))*('1a. Spredningsmodell input'!$B$43+'1a. Spredningsmodell input'!$B$46)/('1a. Spredningsmodell input'!$B$46)))</f>
        <v>#VALUE!</v>
      </c>
      <c r="AI53" s="290" t="e">
        <f>($D53-Stoff!$P53*$D53)*EXP(-($F53+Stoff!$L53*365)*AH53)</f>
        <v>#VALUE!</v>
      </c>
      <c r="AJ53" s="291" t="e">
        <f>(Stoff!$P53*$D53)*EXP(-'1a. Spredningsmodell input'!$B$43*AH53)</f>
        <v>#VALUE!</v>
      </c>
      <c r="AK53" s="290" t="e">
        <f>($D53-Stoff!$P53*$D53-AI53)*($F53/($F53+Stoff!$L53*365))</f>
        <v>#VALUE!</v>
      </c>
      <c r="AL53" s="290" t="e">
        <f>(Stoff!$P53*$D53)-AJ53</f>
        <v>#VALUE!</v>
      </c>
      <c r="AM53" s="290" t="e">
        <f>($O53+AK53)*EXP(-($N53+Stoff!$M53*365)*AH53)</f>
        <v>#VALUE!</v>
      </c>
      <c r="AN53" s="290" t="e">
        <f>(Stoff!$P53*$O53+AL53)*EXP(-('1a. Spredningsmodell input'!$B$46)*AH53)</f>
        <v>#VALUE!</v>
      </c>
      <c r="AO53" s="292" t="e">
        <f>((AM53+AN53)*1000000000)/('1a. Spredningsmodell input'!$B$45*1000)</f>
        <v>#VALUE!</v>
      </c>
      <c r="AP53" s="294" t="e">
        <f>0.001*AO53/('1a. Spredningsmodell input'!$C$25+'1a. Spredningsmodell input'!$C$26/Mellomregninger!$K53)</f>
        <v>#VALUE!</v>
      </c>
      <c r="AQ53" s="294" t="e">
        <f>1000*AP53/$K53+AN53*1000000000/('1a. Spredningsmodell input'!$B$45*1000)</f>
        <v>#VALUE!</v>
      </c>
      <c r="AR53" s="294" t="e">
        <f t="shared" si="1"/>
        <v>#VALUE!</v>
      </c>
      <c r="AS53" s="294" t="e">
        <f>AN53*1000000000/('1a. Spredningsmodell input'!$B$45*1000)</f>
        <v>#VALUE!</v>
      </c>
      <c r="AT53" s="295">
        <f t="shared" si="25"/>
        <v>5</v>
      </c>
      <c r="AU53" s="290" t="e">
        <f>($D53-Stoff!$P53*$D53)*EXP(-($F53+Stoff!$L53*365)*AT53)</f>
        <v>#VALUE!</v>
      </c>
      <c r="AV53" s="291" t="e">
        <f>(Stoff!$P53*$D53)*EXP(-'1a. Spredningsmodell input'!$B$43*AT53)</f>
        <v>#VALUE!</v>
      </c>
      <c r="AW53" s="290" t="e">
        <f>($D53-Stoff!$P53*$D53-AU53)*($F53/($F53+Stoff!$L53*365))</f>
        <v>#VALUE!</v>
      </c>
      <c r="AX53" s="290" t="e">
        <f>(Stoff!$P53*$D53)-AV53</f>
        <v>#VALUE!</v>
      </c>
      <c r="AY53" s="290" t="e">
        <f>($O53+AW53)*EXP(-($N53+Stoff!$M53*365)*AT53)</f>
        <v>#VALUE!</v>
      </c>
      <c r="AZ53" s="290" t="e">
        <f>(Stoff!$P53*$O53+AX53)*EXP(-('1a. Spredningsmodell input'!$B$46)*AT53)</f>
        <v>#VALUE!</v>
      </c>
      <c r="BA53" s="292" t="e">
        <f>((AY53+AZ53)*1000000000)/('1a. Spredningsmodell input'!$B$45*1000)</f>
        <v>#VALUE!</v>
      </c>
      <c r="BB53" s="294" t="e">
        <f>0.001*BA53/('1a. Spredningsmodell input'!$C$25+'1a. Spredningsmodell input'!$C$26/Mellomregninger!$K53)</f>
        <v>#VALUE!</v>
      </c>
      <c r="BC53" s="294" t="e">
        <f>1000*BB53/$K53+AZ53*1000000000/('1a. Spredningsmodell input'!$B$45*1000)</f>
        <v>#VALUE!</v>
      </c>
      <c r="BD53" s="294" t="e">
        <f t="shared" si="2"/>
        <v>#VALUE!</v>
      </c>
      <c r="BE53" s="294" t="e">
        <f>AZ53*1000000000/('1a. Spredningsmodell input'!$B$45*1000)</f>
        <v>#VALUE!</v>
      </c>
      <c r="BF53" s="295">
        <f t="shared" si="26"/>
        <v>20</v>
      </c>
      <c r="BG53" s="290" t="e">
        <f>($D53-Stoff!$P53*$D53)*EXP(-($F53+Stoff!$L53*365)*BF53)</f>
        <v>#VALUE!</v>
      </c>
      <c r="BH53" s="291" t="e">
        <f>(Stoff!$P53*$D53)*EXP(-'1a. Spredningsmodell input'!$B$43*BF53)</f>
        <v>#VALUE!</v>
      </c>
      <c r="BI53" s="290" t="e">
        <f>($D53-Stoff!$P53*$D53-BG53)*($F53/($F53+Stoff!$L53*365))</f>
        <v>#VALUE!</v>
      </c>
      <c r="BJ53" s="290" t="e">
        <f>(Stoff!$P53*$D53)-BH53</f>
        <v>#VALUE!</v>
      </c>
      <c r="BK53" s="290" t="e">
        <f>($O53+BI53)*EXP(-($N53+Stoff!$M53*365)*BF53)</f>
        <v>#VALUE!</v>
      </c>
      <c r="BL53" s="290" t="e">
        <f>(Stoff!$P53*$O53+BJ53)*EXP(-('1a. Spredningsmodell input'!$B$46)*BF53)</f>
        <v>#VALUE!</v>
      </c>
      <c r="BM53" s="292" t="e">
        <f>((BK53+BL53)*1000000000)/('1a. Spredningsmodell input'!$B$45*1000)</f>
        <v>#VALUE!</v>
      </c>
      <c r="BN53" s="294" t="e">
        <f>0.001*BM53/('1a. Spredningsmodell input'!$C$25+'1a. Spredningsmodell input'!$C$26/Mellomregninger!$K53)</f>
        <v>#VALUE!</v>
      </c>
      <c r="BO53" s="294" t="e">
        <f>1000*BN53/$K53+BL53*1000000000/('1a. Spredningsmodell input'!$B$45*1000)</f>
        <v>#VALUE!</v>
      </c>
      <c r="BP53" s="294" t="e">
        <f t="shared" si="3"/>
        <v>#VALUE!</v>
      </c>
      <c r="BQ53" s="294" t="e">
        <f>BL53*1000000000/('1a. Spredningsmodell input'!$B$45*1000)</f>
        <v>#VALUE!</v>
      </c>
      <c r="BR53" s="295">
        <f t="shared" si="27"/>
        <v>100</v>
      </c>
      <c r="BS53" s="290" t="e">
        <f>($D53-Stoff!$P53*$D53)*EXP(-($F53+Stoff!$L53*365)*BR53)</f>
        <v>#VALUE!</v>
      </c>
      <c r="BT53" s="291" t="e">
        <f>(Stoff!$P53*$D53)*EXP(-'1a. Spredningsmodell input'!$B$43*BR53)</f>
        <v>#VALUE!</v>
      </c>
      <c r="BU53" s="290" t="e">
        <f>($D53-Stoff!$P53*$D53-BS53)*($F53/($F53+Stoff!$L53*365))</f>
        <v>#VALUE!</v>
      </c>
      <c r="BV53" s="290" t="e">
        <f>(Stoff!$P53*$D53)-BT53</f>
        <v>#VALUE!</v>
      </c>
      <c r="BW53" s="290" t="e">
        <f>($O53+BU53)*EXP(-($N53+Stoff!$M53*365)*BR53)</f>
        <v>#VALUE!</v>
      </c>
      <c r="BX53" s="290" t="e">
        <f>(Stoff!$P53*$O53+BV53)*EXP(-('1a. Spredningsmodell input'!$B$46)*BR53)</f>
        <v>#VALUE!</v>
      </c>
      <c r="BY53" s="292" t="e">
        <f>((BW53+BX53)*1000000000)/('1a. Spredningsmodell input'!$B$45*1000)</f>
        <v>#VALUE!</v>
      </c>
      <c r="BZ53" s="294" t="e">
        <f>0.001*BY53/('1a. Spredningsmodell input'!$C$25+'1a. Spredningsmodell input'!$C$26/Mellomregninger!$K53)</f>
        <v>#VALUE!</v>
      </c>
      <c r="CA53" s="294" t="e">
        <f>1000*BZ53/$K53+BX53*1000000000/('1a. Spredningsmodell input'!$B$45*1000)</f>
        <v>#VALUE!</v>
      </c>
      <c r="CB53" s="294" t="e">
        <f t="shared" si="4"/>
        <v>#VALUE!</v>
      </c>
      <c r="CC53" s="294" t="e">
        <f>BX53*1000000000/('1a. Spredningsmodell input'!$B$45*1000)</f>
        <v>#VALUE!</v>
      </c>
      <c r="CD53" s="294" t="e">
        <f>V53+'1a. Spredningsmodell input'!$C$35</f>
        <v>#VALUE!</v>
      </c>
      <c r="CE53" s="294" t="e">
        <f>($S53+$Q53*($O53+$I53*($D53*(1-Stoff!$P53))*(1-EXP(-($F53+Stoff!$L53*365)*CD53)))*(1-EXP(-($N53+Stoff!$M53*365)*CD53)))</f>
        <v>#VALUE!</v>
      </c>
      <c r="CF53" s="294" t="e">
        <f t="shared" si="5"/>
        <v>#VALUE!</v>
      </c>
      <c r="CG53" s="296" t="e">
        <f>(CF53/1000000)*'1a. Spredningsmodell input'!$B$49*'1a. Spredningsmodell input'!$C$35</f>
        <v>#VALUE!</v>
      </c>
      <c r="CH53" s="294" t="e">
        <f t="shared" si="17"/>
        <v>#VALUE!</v>
      </c>
      <c r="CI53" s="290" t="e">
        <f>(CH53/1000000)*'1a. Spredningsmodell input'!$B$49*'1a. Spredningsmodell input'!$C$35</f>
        <v>#VALUE!</v>
      </c>
      <c r="CJ53" s="297" t="e">
        <f>($S53)*EXP(-(Stoff!$N53*365+$U53)*CD53)+CG53</f>
        <v>#VALUE!</v>
      </c>
      <c r="CK53" s="297" t="e">
        <f>(Stoff!$P53*$S53+CI53)*EXP(-$T53*CD53)</f>
        <v>#VALUE!</v>
      </c>
      <c r="CL53" s="297" t="e">
        <f>(CJ53+CK53)*1000000000/('1a. Spredningsmodell input'!$C$36*1000)</f>
        <v>#VALUE!</v>
      </c>
      <c r="CM53" s="297" t="e">
        <f>$G53*(1-EXP(-'1a. Spredningsmodell input'!$B$43*Mellomregninger!CD53))*(1-EXP(-'1a. Spredningsmodell input'!$B$46*Mellomregninger!CD53))</f>
        <v>#VALUE!</v>
      </c>
      <c r="CN53" s="297"/>
      <c r="CO53" s="297"/>
      <c r="CP53" s="290">
        <f>IF(ISNUMBER(AH53),AH53+'1a. Spredningsmodell input'!$C$35,'1a. Spredningsmodell input'!$C$35)</f>
        <v>1</v>
      </c>
      <c r="CQ53" s="294" t="e">
        <f>($S53+$Q53*($O53+$I53*($D53*(1-Stoff!$P53))*(1-EXP(-($F53+Stoff!$L53*365)*CP53)))*(1-EXP(-($N53+Stoff!$M53*365)*CP53)))</f>
        <v>#VALUE!</v>
      </c>
      <c r="CR53" s="294" t="e">
        <f t="shared" si="6"/>
        <v>#VALUE!</v>
      </c>
      <c r="CS53" s="296" t="e">
        <f>(CR53/1000000)*('1a. Spredningsmodell input'!$B$49*'1a. Spredningsmodell input'!$C$35)</f>
        <v>#VALUE!</v>
      </c>
      <c r="CT53" s="294" t="e">
        <f t="shared" si="7"/>
        <v>#VALUE!</v>
      </c>
      <c r="CU53" s="290" t="e">
        <f>(CT53/1000000)*('1a. Spredningsmodell input'!$B$49)*'1a. Spredningsmodell input'!$C$35</f>
        <v>#VALUE!</v>
      </c>
      <c r="CV53" s="297" t="e">
        <f>($S53)*EXP(-(Stoff!$N53*365+$U53)*CP53)+CS53</f>
        <v>#VALUE!</v>
      </c>
      <c r="CW53" s="297" t="e">
        <f>(Stoff!$P53*$S53+CU53)*EXP(-$T53*CP53)</f>
        <v>#VALUE!</v>
      </c>
      <c r="CX53" s="297">
        <f>IF(ISERROR(CV53),0,(CV53+CW53)*1000000000/('1a. Spredningsmodell input'!$C$36*1000))</f>
        <v>0</v>
      </c>
      <c r="CY53" s="297" t="e">
        <f>$G53*(1-EXP(-'1a. Spredningsmodell input'!$B$43*Mellomregninger!CP53))*(1-EXP(-'1a. Spredningsmodell input'!$B$46*Mellomregninger!CP53))</f>
        <v>#VALUE!</v>
      </c>
      <c r="CZ53" s="297"/>
      <c r="DA53" s="297"/>
      <c r="DB53" s="262">
        <f t="shared" si="28"/>
        <v>5</v>
      </c>
      <c r="DC53" s="298" t="e">
        <f>($S53+$Q53*($O53+$I53*($D53*(1-Stoff!$P53))*(1-EXP(-($F53+Stoff!$L53*365)*DB53)))*(1-EXP(-($N53+Stoff!$M53*365)*DB53)))</f>
        <v>#VALUE!</v>
      </c>
      <c r="DD53" s="294" t="e">
        <f t="shared" si="8"/>
        <v>#VALUE!</v>
      </c>
      <c r="DE53" s="296" t="e">
        <f>(DD53/1000000)*('1a. Spredningsmodell input'!$B$49)*'1a. Spredningsmodell input'!$C$35</f>
        <v>#VALUE!</v>
      </c>
      <c r="DF53" s="294" t="e">
        <f t="shared" si="19"/>
        <v>#VALUE!</v>
      </c>
      <c r="DG53" s="290" t="e">
        <f>(DF53/1000000)*('1a. Spredningsmodell input'!$B$49)*'1a. Spredningsmodell input'!$C$35</f>
        <v>#VALUE!</v>
      </c>
      <c r="DH53" s="297" t="e">
        <f>($S53)*EXP(-(Stoff!$N53*365+$U53)*DB53)+DE53</f>
        <v>#VALUE!</v>
      </c>
      <c r="DI53" s="297" t="e">
        <f>(Stoff!$P53*$S53+DG53)*EXP(-$T53*DB53)</f>
        <v>#VALUE!</v>
      </c>
      <c r="DJ53" s="297" t="e">
        <f>(DH53+DI53)*1000000000/('1a. Spredningsmodell input'!$C$36*1000)</f>
        <v>#VALUE!</v>
      </c>
      <c r="DK53" s="297" t="e">
        <f>$G53*(1-EXP(-'1a. Spredningsmodell input'!$B$43*Mellomregninger!DB53))*(1-EXP(-'1a. Spredningsmodell input'!$B$46*Mellomregninger!DB53))</f>
        <v>#VALUE!</v>
      </c>
      <c r="DL53" s="297"/>
      <c r="DM53" s="297"/>
      <c r="DN53" s="262">
        <f t="shared" si="29"/>
        <v>20</v>
      </c>
      <c r="DO53" s="298" t="e">
        <f>($S53+$Q53*($O53+$I53*($D53*(1-Stoff!$P53))*(1-EXP(-($F53+Stoff!$L53*365)*DN53)))*(1-EXP(-($N53+Stoff!$M53*365)*DN53)))</f>
        <v>#VALUE!</v>
      </c>
      <c r="DP53" s="294" t="e">
        <f t="shared" si="21"/>
        <v>#VALUE!</v>
      </c>
      <c r="DQ53" s="296" t="e">
        <f>(DP53/1000000)*('1a. Spredningsmodell input'!$B$49)*'1a. Spredningsmodell input'!$C$35</f>
        <v>#VALUE!</v>
      </c>
      <c r="DR53" s="294" t="e">
        <f t="shared" si="9"/>
        <v>#VALUE!</v>
      </c>
      <c r="DS53" s="290" t="e">
        <f>(DR53/1000000)*('1a. Spredningsmodell input'!$B$49)*'1a. Spredningsmodell input'!$C$35</f>
        <v>#VALUE!</v>
      </c>
      <c r="DT53" s="297" t="e">
        <f>($S53)*EXP(-(Stoff!$N53*365+$U53)*DN53)+DQ53</f>
        <v>#VALUE!</v>
      </c>
      <c r="DU53" s="297" t="e">
        <f>(Stoff!$P53*$S53+DS53)*EXP(-$T53*DN53)</f>
        <v>#VALUE!</v>
      </c>
      <c r="DV53" s="297" t="e">
        <f>(DT53+DU53)*1000000000/('1a. Spredningsmodell input'!$C$36*1000)</f>
        <v>#VALUE!</v>
      </c>
      <c r="DW53" s="297" t="e">
        <f>$G53*(1-EXP(-'1a. Spredningsmodell input'!$B$43*Mellomregninger!DN53))*(1-EXP(-'1a. Spredningsmodell input'!$B$46*Mellomregninger!DN53))</f>
        <v>#VALUE!</v>
      </c>
      <c r="DX53" s="297"/>
      <c r="DY53" s="297"/>
      <c r="DZ53" s="262">
        <f t="shared" si="30"/>
        <v>100</v>
      </c>
      <c r="EA53" s="298" t="e">
        <f>($S53+$Q53*($O53+$I53*($D53*(1-Stoff!$P53))*(1-EXP(-($F53+Stoff!$L53*365)*DZ53)))*(1-EXP(-($N53+Stoff!$M53*365)*DZ53)))</f>
        <v>#VALUE!</v>
      </c>
      <c r="EB53" s="294" t="e">
        <f t="shared" si="10"/>
        <v>#VALUE!</v>
      </c>
      <c r="EC53" s="296" t="e">
        <f>(EB53/1000000)*('1a. Spredningsmodell input'!$B$49)*'1a. Spredningsmodell input'!$C$35</f>
        <v>#VALUE!</v>
      </c>
      <c r="ED53" s="294" t="e">
        <f t="shared" si="11"/>
        <v>#VALUE!</v>
      </c>
      <c r="EE53" s="290" t="e">
        <f>(ED53/1000000)*('1a. Spredningsmodell input'!$B$49)*'1a. Spredningsmodell input'!$C$35</f>
        <v>#VALUE!</v>
      </c>
      <c r="EF53" s="297" t="e">
        <f>($S53)*EXP(-(Stoff!$N53*365+$U53)*DZ53)+EC53</f>
        <v>#VALUE!</v>
      </c>
      <c r="EG53" s="297" t="e">
        <f>(Stoff!$P53*$S53+EE53)*EXP(-$T53*DZ53)</f>
        <v>#VALUE!</v>
      </c>
      <c r="EH53" s="297" t="e">
        <f>(EF53+EG53)*1000000000/('1a. Spredningsmodell input'!$C$36*1000)</f>
        <v>#VALUE!</v>
      </c>
      <c r="EI53" s="297" t="e">
        <f>$G53*(1-EXP(-'1a. Spredningsmodell input'!$B$43*Mellomregninger!DZ53))*(1-EXP(-'1a. Spredningsmodell input'!$B$46*Mellomregninger!DZ53))</f>
        <v>#VALUE!</v>
      </c>
      <c r="EJ53" s="297"/>
      <c r="EK53" s="297"/>
      <c r="EL53" s="262">
        <f t="shared" si="31"/>
        <v>1.0000000000000001E+25</v>
      </c>
      <c r="EM53" s="294" t="e">
        <f>($S53+$Q53*($O53+$I53*($D53*(1-Stoff!$P53))*(1-EXP(-($F53+Stoff!$L53*365)*EL53)))*(1-EXP(-($N53+Stoff!$M53*365)*EL53)))</f>
        <v>#VALUE!</v>
      </c>
      <c r="EN53" s="296" t="e">
        <f>($S53+$Q53*($O53+$I53*($D53*(1-Stoff!$P53))*(1-EXP(-($F53+Stoff!$L53*365)*(EL53-'1a. Spredningsmodell input'!$C$35))))*(1-EXP(-($N53+Stoff!$M53*365)*(EL53-'1a. Spredningsmodell input'!$C$35))))</f>
        <v>#VALUE!</v>
      </c>
      <c r="EO53" s="294" t="e">
        <f>IF(EL53&lt;'1a. Spredningsmodell input'!$C$35,EM53-($S53)*EXP(-(Stoff!$N53*365+$U53)*EL53),EM53-EN53)</f>
        <v>#VALUE!</v>
      </c>
      <c r="EP53" s="290" t="e">
        <f>((($D53*(Stoff!$P53))*(1-EXP(-'1a. Spredningsmodell input'!$B$43*EL53)))*(1-EXP(-'1a. Spredningsmodell input'!$B$46*EL53)))</f>
        <v>#VALUE!</v>
      </c>
      <c r="EQ53" s="294" t="e">
        <f>((($D53*(Stoff!$P53))*(1-EXP(-'1a. Spredningsmodell input'!$B$43*(EL53-'1a. Spredningsmodell input'!$C$35))))*(1-EXP(-'1a. Spredningsmodell input'!$B$46*(EL53-'1a. Spredningsmodell input'!$C$35))))</f>
        <v>#VALUE!</v>
      </c>
      <c r="ER53" s="290" t="e">
        <f>IF(EL53&lt;'1a. Spredningsmodell input'!$C$35,0,EP53-EQ53)</f>
        <v>#VALUE!</v>
      </c>
      <c r="ES53" s="297" t="e">
        <f>($S53)*EXP(-(Stoff!$N53*365+$U53)*EL53)+EO53</f>
        <v>#VALUE!</v>
      </c>
      <c r="ET53" s="297" t="e">
        <f>(Stoff!$P53*$S53+ER53)*EXP(-$T53*EL53)</f>
        <v>#VALUE!</v>
      </c>
      <c r="EU53" s="297" t="e">
        <f>(ES53+ET53)*1000000000/('1a. Spredningsmodell input'!$C$36*1000)</f>
        <v>#VALUE!</v>
      </c>
      <c r="EV53" s="262" t="e">
        <f t="shared" si="32"/>
        <v>#VALUE!</v>
      </c>
      <c r="EW53" s="299" t="e">
        <f t="shared" si="33"/>
        <v>#VALUE!</v>
      </c>
      <c r="EX53" s="262" t="e">
        <f t="shared" si="34"/>
        <v>#VALUE!</v>
      </c>
    </row>
    <row r="54" spans="1:154" x14ac:dyDescent="0.35">
      <c r="A54" s="50" t="s">
        <v>156</v>
      </c>
      <c r="B54" s="34" t="str">
        <f>IF(ISNUMBER('1c. Kons. porevann'!E54),1000*'1c. Kons. porevann'!E54,IF(ISNUMBER('1b. Kons. umettet jord'!E54),1000*'1b. Kons. umettet jord'!E54/C54,""))</f>
        <v/>
      </c>
      <c r="C54" s="244">
        <f>IF(Stoff!B54="uorganisk",Stoff!C54,Stoff!D54*'1a. Spredningsmodell input'!$C$11)</f>
        <v>19498.45</v>
      </c>
      <c r="D54" s="34" t="str">
        <f>IF(ISNUMBER(B54),0.000001*('1b. Kons. umettet jord'!G54*'1a. Spredningsmodell input'!$C$12+B54*0.001*'1a. Spredningsmodell input'!$C$14)*1000*'1a. Spredningsmodell input'!$B$41*'1a. Spredningsmodell input'!$C$18,"")</f>
        <v/>
      </c>
      <c r="E54" s="283">
        <f>C54*'1a. Spredningsmodell input'!$C$12/'1a. Spredningsmodell input'!$C$14+1</f>
        <v>165737.82499999998</v>
      </c>
      <c r="F54" s="284">
        <f>'1a. Spredningsmodell input'!$B$43/E54</f>
        <v>9.0504385465418051E-6</v>
      </c>
      <c r="G54" s="34" t="e">
        <f>Stoff!P54*Mellomregninger!D54</f>
        <v>#VALUE!</v>
      </c>
      <c r="H54" s="283" t="e">
        <f>(D54-G54)*(F54/(F54+Stoff!L54))</f>
        <v>#VALUE!</v>
      </c>
      <c r="I54" s="283">
        <f>F54/(F54+Stoff!L54)</f>
        <v>1</v>
      </c>
      <c r="J54" s="285" t="str">
        <f>IF(B54="","",IF(ISNUMBER('1d. Kons. mettet sone'!E54),'1d. Kons. mettet sone'!E54,IF(ISNUMBER('1e. Kons. grunnvann'!E54),'1e. Kons. grunnvann'!E54*Mellomregninger!K54,0)))</f>
        <v/>
      </c>
      <c r="K54" s="286">
        <f>IF(Stoff!B54="uorganisk",Stoff!C54,Stoff!D54*'1a. Spredningsmodell input'!$C$24)</f>
        <v>1949.845</v>
      </c>
      <c r="L54" s="27" t="e">
        <f>IF(ISNUMBER('1e. Kons. grunnvann'!E54),1000*'1e. Kons. grunnvann'!E54,1000*J54/K54)</f>
        <v>#VALUE!</v>
      </c>
      <c r="M54" s="34">
        <f>K54*'1a. Spredningsmodell input'!$C$25/'1a. Spredningsmodell input'!$C$26+1</f>
        <v>8287.8412499999995</v>
      </c>
      <c r="N54" s="284">
        <f>'1a. Spredningsmodell input'!$C$26/M54</f>
        <v>4.8263472710701361E-5</v>
      </c>
      <c r="O54" s="287" t="e">
        <f>0.000000001*(J54*'1a. Spredningsmodell input'!$C$25+L54)*1000*'1a. Spredningsmodell input'!$B$45</f>
        <v>#VALUE!</v>
      </c>
      <c r="P54" s="287" t="e">
        <f>O54*Stoff!P54</f>
        <v>#VALUE!</v>
      </c>
      <c r="Q54" s="287">
        <f>N54/(N54+Stoff!M54)</f>
        <v>1</v>
      </c>
      <c r="R54" s="288">
        <f>IF(ISNUMBER('1f. Kons. resipient'!E54),'1f. Kons. resipient'!E54,0)</f>
        <v>0</v>
      </c>
      <c r="S54" s="288">
        <f>0.000000001*'1a. Spredningsmodell input'!$C$36*R54*1000</f>
        <v>0</v>
      </c>
      <c r="T54" s="288">
        <f>1/'1a. Spredningsmodell input'!$C$35</f>
        <v>1</v>
      </c>
      <c r="U54" s="288">
        <f>1/'1a. Spredningsmodell input'!$C$35</f>
        <v>1</v>
      </c>
      <c r="V54" s="300" t="e">
        <f>(1/($N54+Stoff!$L54))*(LN(($D54*$I54/($D54*$I54+$J54))*($F54+Stoff!$L54+$N54+Stoff!$M54)/($N54+Stoff!$M54)))</f>
        <v>#VALUE!</v>
      </c>
      <c r="W54" s="290" t="e">
        <f>($D54-Stoff!$P54*$D54)*EXP(-($F54+Stoff!$L54*365)*V54)</f>
        <v>#VALUE!</v>
      </c>
      <c r="X54" s="291" t="e">
        <f>(Stoff!$P54*$D54)*EXP(-'1a. Spredningsmodell input'!$B$43*V54)</f>
        <v>#VALUE!</v>
      </c>
      <c r="Y54" s="290" t="e">
        <f>($D54-Stoff!$P54*$D54-W54)*($F54/($F54+Stoff!$L54*365))</f>
        <v>#VALUE!</v>
      </c>
      <c r="Z54" s="290" t="e">
        <f>(Stoff!$P54*$D54)-X54</f>
        <v>#VALUE!</v>
      </c>
      <c r="AA54" s="290" t="e">
        <f>($O54+Y54)*EXP(-($N54+Stoff!$M54*365)*V54)</f>
        <v>#VALUE!</v>
      </c>
      <c r="AB54" s="290" t="e">
        <f>(Stoff!$P54*$O54+Z54)*EXP(-('1a. Spredningsmodell input'!$B$46)*V54)</f>
        <v>#VALUE!</v>
      </c>
      <c r="AC54" s="292" t="e">
        <f>((AA54+AB54)*1000000000)/('1a. Spredningsmodell input'!$B$45*1000)</f>
        <v>#VALUE!</v>
      </c>
      <c r="AD54" s="294" t="e">
        <f>0.001*AC54/('1a. Spredningsmodell input'!$C$25+'1a. Spredningsmodell input'!$C$26/Mellomregninger!$K54)</f>
        <v>#VALUE!</v>
      </c>
      <c r="AE54" s="294" t="e">
        <f>1000*AD54/$K54+AB54*1000000000/('1a. Spredningsmodell input'!$B$45*1000)</f>
        <v>#VALUE!</v>
      </c>
      <c r="AF54" s="294" t="e">
        <f t="shared" si="0"/>
        <v>#VALUE!</v>
      </c>
      <c r="AG54" s="294" t="e">
        <f>AB54*1000000000/('1a. Spredningsmodell input'!$B$45*1000)</f>
        <v>#VALUE!</v>
      </c>
      <c r="AH54" s="300" t="e">
        <f>(1/('1a. Spredningsmodell input'!$B$46))*(LN(($D54*Stoff!$P54/($D54*Stoff!$P54+$P54*Stoff!$P54))*('1a. Spredningsmodell input'!$B$43+'1a. Spredningsmodell input'!$B$46)/('1a. Spredningsmodell input'!$B$46)))</f>
        <v>#VALUE!</v>
      </c>
      <c r="AI54" s="290" t="e">
        <f>($D54-Stoff!$P54*$D54)*EXP(-($F54+Stoff!$L54*365)*AH54)</f>
        <v>#VALUE!</v>
      </c>
      <c r="AJ54" s="291" t="e">
        <f>(Stoff!$P54*$D54)*EXP(-'1a. Spredningsmodell input'!$B$43*AH54)</f>
        <v>#VALUE!</v>
      </c>
      <c r="AK54" s="290" t="e">
        <f>($D54-Stoff!$P54*$D54-AI54)*($F54/($F54+Stoff!$L54*365))</f>
        <v>#VALUE!</v>
      </c>
      <c r="AL54" s="290" t="e">
        <f>(Stoff!$P54*$D54)-AJ54</f>
        <v>#VALUE!</v>
      </c>
      <c r="AM54" s="290" t="e">
        <f>($O54+AK54)*EXP(-($N54+Stoff!$M54*365)*AH54)</f>
        <v>#VALUE!</v>
      </c>
      <c r="AN54" s="290" t="e">
        <f>(Stoff!$P54*$O54+AL54)*EXP(-('1a. Spredningsmodell input'!$B$46)*AH54)</f>
        <v>#VALUE!</v>
      </c>
      <c r="AO54" s="292" t="e">
        <f>((AM54+AN54)*1000000000)/('1a. Spredningsmodell input'!$B$45*1000)</f>
        <v>#VALUE!</v>
      </c>
      <c r="AP54" s="294" t="e">
        <f>0.001*AO54/('1a. Spredningsmodell input'!$C$25+'1a. Spredningsmodell input'!$C$26/Mellomregninger!$K54)</f>
        <v>#VALUE!</v>
      </c>
      <c r="AQ54" s="294" t="e">
        <f>1000*AP54/$K54+AN54*1000000000/('1a. Spredningsmodell input'!$B$45*1000)</f>
        <v>#VALUE!</v>
      </c>
      <c r="AR54" s="294" t="e">
        <f t="shared" si="1"/>
        <v>#VALUE!</v>
      </c>
      <c r="AS54" s="294" t="e">
        <f>AN54*1000000000/('1a. Spredningsmodell input'!$B$45*1000)</f>
        <v>#VALUE!</v>
      </c>
      <c r="AT54" s="295">
        <f t="shared" si="25"/>
        <v>5</v>
      </c>
      <c r="AU54" s="290" t="e">
        <f>($D54-Stoff!$P54*$D54)*EXP(-($F54+Stoff!$L54*365)*AT54)</f>
        <v>#VALUE!</v>
      </c>
      <c r="AV54" s="291" t="e">
        <f>(Stoff!$P54*$D54)*EXP(-'1a. Spredningsmodell input'!$B$43*AT54)</f>
        <v>#VALUE!</v>
      </c>
      <c r="AW54" s="290" t="e">
        <f>($D54-Stoff!$P54*$D54-AU54)*($F54/($F54+Stoff!$L54*365))</f>
        <v>#VALUE!</v>
      </c>
      <c r="AX54" s="290" t="e">
        <f>(Stoff!$P54*$D54)-AV54</f>
        <v>#VALUE!</v>
      </c>
      <c r="AY54" s="290" t="e">
        <f>($O54+AW54)*EXP(-($N54+Stoff!$M54*365)*AT54)</f>
        <v>#VALUE!</v>
      </c>
      <c r="AZ54" s="290" t="e">
        <f>(Stoff!$P54*$O54+AX54)*EXP(-('1a. Spredningsmodell input'!$B$46)*AT54)</f>
        <v>#VALUE!</v>
      </c>
      <c r="BA54" s="292" t="e">
        <f>((AY54+AZ54)*1000000000)/('1a. Spredningsmodell input'!$B$45*1000)</f>
        <v>#VALUE!</v>
      </c>
      <c r="BB54" s="294" t="e">
        <f>0.001*BA54/('1a. Spredningsmodell input'!$C$25+'1a. Spredningsmodell input'!$C$26/Mellomregninger!$K54)</f>
        <v>#VALUE!</v>
      </c>
      <c r="BC54" s="294" t="e">
        <f>1000*BB54/$K54+AZ54*1000000000/('1a. Spredningsmodell input'!$B$45*1000)</f>
        <v>#VALUE!</v>
      </c>
      <c r="BD54" s="294" t="e">
        <f t="shared" si="2"/>
        <v>#VALUE!</v>
      </c>
      <c r="BE54" s="294" t="e">
        <f>AZ54*1000000000/('1a. Spredningsmodell input'!$B$45*1000)</f>
        <v>#VALUE!</v>
      </c>
      <c r="BF54" s="295">
        <f t="shared" si="26"/>
        <v>20</v>
      </c>
      <c r="BG54" s="290" t="e">
        <f>($D54-Stoff!$P54*$D54)*EXP(-($F54+Stoff!$L54*365)*BF54)</f>
        <v>#VALUE!</v>
      </c>
      <c r="BH54" s="291" t="e">
        <f>(Stoff!$P54*$D54)*EXP(-'1a. Spredningsmodell input'!$B$43*BF54)</f>
        <v>#VALUE!</v>
      </c>
      <c r="BI54" s="290" t="e">
        <f>($D54-Stoff!$P54*$D54-BG54)*($F54/($F54+Stoff!$L54*365))</f>
        <v>#VALUE!</v>
      </c>
      <c r="BJ54" s="290" t="e">
        <f>(Stoff!$P54*$D54)-BH54</f>
        <v>#VALUE!</v>
      </c>
      <c r="BK54" s="290" t="e">
        <f>($O54+BI54)*EXP(-($N54+Stoff!$M54*365)*BF54)</f>
        <v>#VALUE!</v>
      </c>
      <c r="BL54" s="290" t="e">
        <f>(Stoff!$P54*$O54+BJ54)*EXP(-('1a. Spredningsmodell input'!$B$46)*BF54)</f>
        <v>#VALUE!</v>
      </c>
      <c r="BM54" s="292" t="e">
        <f>((BK54+BL54)*1000000000)/('1a. Spredningsmodell input'!$B$45*1000)</f>
        <v>#VALUE!</v>
      </c>
      <c r="BN54" s="294" t="e">
        <f>0.001*BM54/('1a. Spredningsmodell input'!$C$25+'1a. Spredningsmodell input'!$C$26/Mellomregninger!$K54)</f>
        <v>#VALUE!</v>
      </c>
      <c r="BO54" s="294" t="e">
        <f>1000*BN54/$K54+BL54*1000000000/('1a. Spredningsmodell input'!$B$45*1000)</f>
        <v>#VALUE!</v>
      </c>
      <c r="BP54" s="294" t="e">
        <f t="shared" si="3"/>
        <v>#VALUE!</v>
      </c>
      <c r="BQ54" s="294" t="e">
        <f>BL54*1000000000/('1a. Spredningsmodell input'!$B$45*1000)</f>
        <v>#VALUE!</v>
      </c>
      <c r="BR54" s="295">
        <f t="shared" si="27"/>
        <v>100</v>
      </c>
      <c r="BS54" s="290" t="e">
        <f>($D54-Stoff!$P54*$D54)*EXP(-($F54+Stoff!$L54*365)*BR54)</f>
        <v>#VALUE!</v>
      </c>
      <c r="BT54" s="291" t="e">
        <f>(Stoff!$P54*$D54)*EXP(-'1a. Spredningsmodell input'!$B$43*BR54)</f>
        <v>#VALUE!</v>
      </c>
      <c r="BU54" s="290" t="e">
        <f>($D54-Stoff!$P54*$D54-BS54)*($F54/($F54+Stoff!$L54*365))</f>
        <v>#VALUE!</v>
      </c>
      <c r="BV54" s="290" t="e">
        <f>(Stoff!$P54*$D54)-BT54</f>
        <v>#VALUE!</v>
      </c>
      <c r="BW54" s="290" t="e">
        <f>($O54+BU54)*EXP(-($N54+Stoff!$M54*365)*BR54)</f>
        <v>#VALUE!</v>
      </c>
      <c r="BX54" s="290" t="e">
        <f>(Stoff!$P54*$O54+BV54)*EXP(-('1a. Spredningsmodell input'!$B$46)*BR54)</f>
        <v>#VALUE!</v>
      </c>
      <c r="BY54" s="292" t="e">
        <f>((BW54+BX54)*1000000000)/('1a. Spredningsmodell input'!$B$45*1000)</f>
        <v>#VALUE!</v>
      </c>
      <c r="BZ54" s="294" t="e">
        <f>0.001*BY54/('1a. Spredningsmodell input'!$C$25+'1a. Spredningsmodell input'!$C$26/Mellomregninger!$K54)</f>
        <v>#VALUE!</v>
      </c>
      <c r="CA54" s="294" t="e">
        <f>1000*BZ54/$K54+BX54*1000000000/('1a. Spredningsmodell input'!$B$45*1000)</f>
        <v>#VALUE!</v>
      </c>
      <c r="CB54" s="294" t="e">
        <f t="shared" si="4"/>
        <v>#VALUE!</v>
      </c>
      <c r="CC54" s="294" t="e">
        <f>BX54*1000000000/('1a. Spredningsmodell input'!$B$45*1000)</f>
        <v>#VALUE!</v>
      </c>
      <c r="CD54" s="294" t="e">
        <f>V54+'1a. Spredningsmodell input'!$C$35</f>
        <v>#VALUE!</v>
      </c>
      <c r="CE54" s="294" t="e">
        <f>($S54+$Q54*($O54+$I54*($D54*(1-Stoff!$P54))*(1-EXP(-($F54+Stoff!$L54*365)*CD54)))*(1-EXP(-($N54+Stoff!$M54*365)*CD54)))</f>
        <v>#VALUE!</v>
      </c>
      <c r="CF54" s="294" t="e">
        <f t="shared" si="5"/>
        <v>#VALUE!</v>
      </c>
      <c r="CG54" s="296" t="e">
        <f>(CF54/1000000)*'1a. Spredningsmodell input'!$B$49*'1a. Spredningsmodell input'!$C$35</f>
        <v>#VALUE!</v>
      </c>
      <c r="CH54" s="294" t="e">
        <f t="shared" si="17"/>
        <v>#VALUE!</v>
      </c>
      <c r="CI54" s="290" t="e">
        <f>(CH54/1000000)*'1a. Spredningsmodell input'!$B$49*'1a. Spredningsmodell input'!$C$35</f>
        <v>#VALUE!</v>
      </c>
      <c r="CJ54" s="297" t="e">
        <f>($S54)*EXP(-(Stoff!$N54*365+$U54)*CD54)+CG54</f>
        <v>#VALUE!</v>
      </c>
      <c r="CK54" s="297" t="e">
        <f>(Stoff!$P54*$S54+CI54)*EXP(-$T54*CD54)</f>
        <v>#VALUE!</v>
      </c>
      <c r="CL54" s="297" t="e">
        <f>(CJ54+CK54)*1000000000/('1a. Spredningsmodell input'!$C$36*1000)</f>
        <v>#VALUE!</v>
      </c>
      <c r="CM54" s="297" t="e">
        <f>$G54*(1-EXP(-'1a. Spredningsmodell input'!$B$43*Mellomregninger!CD54))*(1-EXP(-'1a. Spredningsmodell input'!$B$46*Mellomregninger!CD54))</f>
        <v>#VALUE!</v>
      </c>
      <c r="CN54" s="297"/>
      <c r="CO54" s="297"/>
      <c r="CP54" s="290">
        <f>IF(ISNUMBER(AH54),AH54+'1a. Spredningsmodell input'!$C$35,'1a. Spredningsmodell input'!$C$35)</f>
        <v>1</v>
      </c>
      <c r="CQ54" s="294" t="e">
        <f>($S54+$Q54*($O54+$I54*($D54*(1-Stoff!$P54))*(1-EXP(-($F54+Stoff!$L54*365)*CP54)))*(1-EXP(-($N54+Stoff!$M54*365)*CP54)))</f>
        <v>#VALUE!</v>
      </c>
      <c r="CR54" s="294" t="e">
        <f t="shared" si="6"/>
        <v>#VALUE!</v>
      </c>
      <c r="CS54" s="296" t="e">
        <f>(CR54/1000000)*('1a. Spredningsmodell input'!$B$49*'1a. Spredningsmodell input'!$C$35)</f>
        <v>#VALUE!</v>
      </c>
      <c r="CT54" s="294" t="e">
        <f t="shared" si="7"/>
        <v>#VALUE!</v>
      </c>
      <c r="CU54" s="290" t="e">
        <f>(CT54/1000000)*('1a. Spredningsmodell input'!$B$49)*'1a. Spredningsmodell input'!$C$35</f>
        <v>#VALUE!</v>
      </c>
      <c r="CV54" s="297" t="e">
        <f>($S54)*EXP(-(Stoff!$N54*365+$U54)*CP54)+CS54</f>
        <v>#VALUE!</v>
      </c>
      <c r="CW54" s="297" t="e">
        <f>(Stoff!$P54*$S54+CU54)*EXP(-$T54*CP54)</f>
        <v>#VALUE!</v>
      </c>
      <c r="CX54" s="297">
        <f>IF(ISERROR(CV54),0,(CV54+CW54)*1000000000/('1a. Spredningsmodell input'!$C$36*1000))</f>
        <v>0</v>
      </c>
      <c r="CY54" s="297" t="e">
        <f>$G54*(1-EXP(-'1a. Spredningsmodell input'!$B$43*Mellomregninger!CP54))*(1-EXP(-'1a. Spredningsmodell input'!$B$46*Mellomregninger!CP54))</f>
        <v>#VALUE!</v>
      </c>
      <c r="CZ54" s="297"/>
      <c r="DA54" s="297"/>
      <c r="DB54" s="262">
        <f t="shared" si="28"/>
        <v>5</v>
      </c>
      <c r="DC54" s="298" t="e">
        <f>($S54+$Q54*($O54+$I54*($D54*(1-Stoff!$P54))*(1-EXP(-($F54+Stoff!$L54*365)*DB54)))*(1-EXP(-($N54+Stoff!$M54*365)*DB54)))</f>
        <v>#VALUE!</v>
      </c>
      <c r="DD54" s="294" t="e">
        <f t="shared" si="8"/>
        <v>#VALUE!</v>
      </c>
      <c r="DE54" s="296" t="e">
        <f>(DD54/1000000)*('1a. Spredningsmodell input'!$B$49)*'1a. Spredningsmodell input'!$C$35</f>
        <v>#VALUE!</v>
      </c>
      <c r="DF54" s="294" t="e">
        <f t="shared" si="19"/>
        <v>#VALUE!</v>
      </c>
      <c r="DG54" s="290" t="e">
        <f>(DF54/1000000)*('1a. Spredningsmodell input'!$B$49)*'1a. Spredningsmodell input'!$C$35</f>
        <v>#VALUE!</v>
      </c>
      <c r="DH54" s="297" t="e">
        <f>($S54)*EXP(-(Stoff!$N54*365+$U54)*DB54)+DE54</f>
        <v>#VALUE!</v>
      </c>
      <c r="DI54" s="297" t="e">
        <f>(Stoff!$P54*$S54+DG54)*EXP(-$T54*DB54)</f>
        <v>#VALUE!</v>
      </c>
      <c r="DJ54" s="297" t="e">
        <f>(DH54+DI54)*1000000000/('1a. Spredningsmodell input'!$C$36*1000)</f>
        <v>#VALUE!</v>
      </c>
      <c r="DK54" s="297" t="e">
        <f>$G54*(1-EXP(-'1a. Spredningsmodell input'!$B$43*Mellomregninger!DB54))*(1-EXP(-'1a. Spredningsmodell input'!$B$46*Mellomregninger!DB54))</f>
        <v>#VALUE!</v>
      </c>
      <c r="DL54" s="297"/>
      <c r="DM54" s="297"/>
      <c r="DN54" s="262">
        <f t="shared" si="29"/>
        <v>20</v>
      </c>
      <c r="DO54" s="298" t="e">
        <f>($S54+$Q54*($O54+$I54*($D54*(1-Stoff!$P54))*(1-EXP(-($F54+Stoff!$L54*365)*DN54)))*(1-EXP(-($N54+Stoff!$M54*365)*DN54)))</f>
        <v>#VALUE!</v>
      </c>
      <c r="DP54" s="294" t="e">
        <f t="shared" si="21"/>
        <v>#VALUE!</v>
      </c>
      <c r="DQ54" s="296" t="e">
        <f>(DP54/1000000)*('1a. Spredningsmodell input'!$B$49)*'1a. Spredningsmodell input'!$C$35</f>
        <v>#VALUE!</v>
      </c>
      <c r="DR54" s="294" t="e">
        <f t="shared" si="9"/>
        <v>#VALUE!</v>
      </c>
      <c r="DS54" s="290" t="e">
        <f>(DR54/1000000)*('1a. Spredningsmodell input'!$B$49)*'1a. Spredningsmodell input'!$C$35</f>
        <v>#VALUE!</v>
      </c>
      <c r="DT54" s="297" t="e">
        <f>($S54)*EXP(-(Stoff!$N54*365+$U54)*DN54)+DQ54</f>
        <v>#VALUE!</v>
      </c>
      <c r="DU54" s="297" t="e">
        <f>(Stoff!$P54*$S54+DS54)*EXP(-$T54*DN54)</f>
        <v>#VALUE!</v>
      </c>
      <c r="DV54" s="297" t="e">
        <f>(DT54+DU54)*1000000000/('1a. Spredningsmodell input'!$C$36*1000)</f>
        <v>#VALUE!</v>
      </c>
      <c r="DW54" s="297" t="e">
        <f>$G54*(1-EXP(-'1a. Spredningsmodell input'!$B$43*Mellomregninger!DN54))*(1-EXP(-'1a. Spredningsmodell input'!$B$46*Mellomregninger!DN54))</f>
        <v>#VALUE!</v>
      </c>
      <c r="DX54" s="297"/>
      <c r="DY54" s="297"/>
      <c r="DZ54" s="262">
        <f t="shared" si="30"/>
        <v>100</v>
      </c>
      <c r="EA54" s="298" t="e">
        <f>($S54+$Q54*($O54+$I54*($D54*(1-Stoff!$P54))*(1-EXP(-($F54+Stoff!$L54*365)*DZ54)))*(1-EXP(-($N54+Stoff!$M54*365)*DZ54)))</f>
        <v>#VALUE!</v>
      </c>
      <c r="EB54" s="294" t="e">
        <f t="shared" si="10"/>
        <v>#VALUE!</v>
      </c>
      <c r="EC54" s="296" t="e">
        <f>(EB54/1000000)*('1a. Spredningsmodell input'!$B$49)*'1a. Spredningsmodell input'!$C$35</f>
        <v>#VALUE!</v>
      </c>
      <c r="ED54" s="294" t="e">
        <f t="shared" si="11"/>
        <v>#VALUE!</v>
      </c>
      <c r="EE54" s="290" t="e">
        <f>(ED54/1000000)*('1a. Spredningsmodell input'!$B$49)*'1a. Spredningsmodell input'!$C$35</f>
        <v>#VALUE!</v>
      </c>
      <c r="EF54" s="297" t="e">
        <f>($S54)*EXP(-(Stoff!$N54*365+$U54)*DZ54)+EC54</f>
        <v>#VALUE!</v>
      </c>
      <c r="EG54" s="297" t="e">
        <f>(Stoff!$P54*$S54+EE54)*EXP(-$T54*DZ54)</f>
        <v>#VALUE!</v>
      </c>
      <c r="EH54" s="297" t="e">
        <f>(EF54+EG54)*1000000000/('1a. Spredningsmodell input'!$C$36*1000)</f>
        <v>#VALUE!</v>
      </c>
      <c r="EI54" s="297" t="e">
        <f>$G54*(1-EXP(-'1a. Spredningsmodell input'!$B$43*Mellomregninger!DZ54))*(1-EXP(-'1a. Spredningsmodell input'!$B$46*Mellomregninger!DZ54))</f>
        <v>#VALUE!</v>
      </c>
      <c r="EJ54" s="297"/>
      <c r="EK54" s="297"/>
      <c r="EL54" s="262">
        <f t="shared" si="31"/>
        <v>1.0000000000000001E+25</v>
      </c>
      <c r="EM54" s="294" t="e">
        <f>($S54+$Q54*($O54+$I54*($D54*(1-Stoff!$P54))*(1-EXP(-($F54+Stoff!$L54*365)*EL54)))*(1-EXP(-($N54+Stoff!$M54*365)*EL54)))</f>
        <v>#VALUE!</v>
      </c>
      <c r="EN54" s="296" t="e">
        <f>($S54+$Q54*($O54+$I54*($D54*(1-Stoff!$P54))*(1-EXP(-($F54+Stoff!$L54*365)*(EL54-'1a. Spredningsmodell input'!$C$35))))*(1-EXP(-($N54+Stoff!$M54*365)*(EL54-'1a. Spredningsmodell input'!$C$35))))</f>
        <v>#VALUE!</v>
      </c>
      <c r="EO54" s="294" t="e">
        <f>IF(EL54&lt;'1a. Spredningsmodell input'!$C$35,EM54-($S54)*EXP(-(Stoff!$N54*365+$U54)*EL54),EM54-EN54)</f>
        <v>#VALUE!</v>
      </c>
      <c r="EP54" s="290" t="e">
        <f>((($D54*(Stoff!$P54))*(1-EXP(-'1a. Spredningsmodell input'!$B$43*EL54)))*(1-EXP(-'1a. Spredningsmodell input'!$B$46*EL54)))</f>
        <v>#VALUE!</v>
      </c>
      <c r="EQ54" s="294" t="e">
        <f>((($D54*(Stoff!$P54))*(1-EXP(-'1a. Spredningsmodell input'!$B$43*(EL54-'1a. Spredningsmodell input'!$C$35))))*(1-EXP(-'1a. Spredningsmodell input'!$B$46*(EL54-'1a. Spredningsmodell input'!$C$35))))</f>
        <v>#VALUE!</v>
      </c>
      <c r="ER54" s="290" t="e">
        <f>IF(EL54&lt;'1a. Spredningsmodell input'!$C$35,0,EP54-EQ54)</f>
        <v>#VALUE!</v>
      </c>
      <c r="ES54" s="297" t="e">
        <f>($S54)*EXP(-(Stoff!$N54*365+$U54)*EL54)+EO54</f>
        <v>#VALUE!</v>
      </c>
      <c r="ET54" s="297" t="e">
        <f>(Stoff!$P54*$S54+ER54)*EXP(-$T54*EL54)</f>
        <v>#VALUE!</v>
      </c>
      <c r="EU54" s="297" t="e">
        <f>(ES54+ET54)*1000000000/('1a. Spredningsmodell input'!$C$36*1000)</f>
        <v>#VALUE!</v>
      </c>
      <c r="EV54" s="262" t="e">
        <f t="shared" si="32"/>
        <v>#VALUE!</v>
      </c>
      <c r="EW54" s="299" t="e">
        <f t="shared" si="33"/>
        <v>#VALUE!</v>
      </c>
      <c r="EX54" s="262" t="e">
        <f t="shared" si="34"/>
        <v>#VALUE!</v>
      </c>
    </row>
    <row r="55" spans="1:154" x14ac:dyDescent="0.35">
      <c r="A55" s="50" t="s">
        <v>155</v>
      </c>
      <c r="B55" s="34" t="str">
        <f>IF(ISNUMBER('1c. Kons. porevann'!E55),1000*'1c. Kons. porevann'!E55,IF(ISNUMBER('1b. Kons. umettet jord'!E55),1000*'1b. Kons. umettet jord'!E55/C55,""))</f>
        <v/>
      </c>
      <c r="C55" s="244">
        <f>IF(Stoff!B55="uorganisk",Stoff!C55,Stoff!D55*'1a. Spredningsmodell input'!$C$11)</f>
        <v>10232.93</v>
      </c>
      <c r="D55" s="34" t="str">
        <f>IF(ISNUMBER(B55),0.000001*('1b. Kons. umettet jord'!G55*'1a. Spredningsmodell input'!$C$12+B55*0.001*'1a. Spredningsmodell input'!$C$14)*1000*'1a. Spredningsmodell input'!$B$41*'1a. Spredningsmodell input'!$C$18,"")</f>
        <v/>
      </c>
      <c r="E55" s="283">
        <f>C55*'1a. Spredningsmodell input'!$C$12/'1a. Spredningsmodell input'!$C$14+1</f>
        <v>86980.904999999999</v>
      </c>
      <c r="F55" s="284">
        <f>'1a. Spredningsmodell input'!$B$43/E55</f>
        <v>1.724516432658409E-5</v>
      </c>
      <c r="G55" s="34" t="e">
        <f>Stoff!P55*Mellomregninger!D55</f>
        <v>#VALUE!</v>
      </c>
      <c r="H55" s="283" t="e">
        <f>(D55-G55)*(F55/(F55+Stoff!L55))</f>
        <v>#VALUE!</v>
      </c>
      <c r="I55" s="283">
        <f>F55/(F55+Stoff!L55)</f>
        <v>1</v>
      </c>
      <c r="J55" s="285" t="str">
        <f>IF(B55="","",IF(ISNUMBER('1d. Kons. mettet sone'!E55),'1d. Kons. mettet sone'!E55,IF(ISNUMBER('1e. Kons. grunnvann'!E55),'1e. Kons. grunnvann'!E55*Mellomregninger!K55,0)))</f>
        <v/>
      </c>
      <c r="K55" s="286">
        <f>IF(Stoff!B55="uorganisk",Stoff!C55,Stoff!D55*'1a. Spredningsmodell input'!$C$24)</f>
        <v>1023.293</v>
      </c>
      <c r="L55" s="27" t="e">
        <f>IF(ISNUMBER('1e. Kons. grunnvann'!E55),1000*'1e. Kons. grunnvann'!E55,1000*J55/K55)</f>
        <v>#VALUE!</v>
      </c>
      <c r="M55" s="34">
        <f>K55*'1a. Spredningsmodell input'!$C$25/'1a. Spredningsmodell input'!$C$26+1</f>
        <v>4349.9952499999999</v>
      </c>
      <c r="N55" s="284">
        <f>'1a. Spredningsmodell input'!$C$26/M55</f>
        <v>9.1954123398180733E-5</v>
      </c>
      <c r="O55" s="287" t="e">
        <f>0.000000001*(J55*'1a. Spredningsmodell input'!$C$25+L55)*1000*'1a. Spredningsmodell input'!$B$45</f>
        <v>#VALUE!</v>
      </c>
      <c r="P55" s="287" t="e">
        <f>O55*Stoff!P55</f>
        <v>#VALUE!</v>
      </c>
      <c r="Q55" s="287">
        <f>N55/(N55+Stoff!M55)</f>
        <v>1</v>
      </c>
      <c r="R55" s="288">
        <f>IF(ISNUMBER('1f. Kons. resipient'!E55),'1f. Kons. resipient'!E55,0)</f>
        <v>0</v>
      </c>
      <c r="S55" s="288">
        <f>0.000000001*'1a. Spredningsmodell input'!$C$36*R55*1000</f>
        <v>0</v>
      </c>
      <c r="T55" s="288">
        <f>1/'1a. Spredningsmodell input'!$C$35</f>
        <v>1</v>
      </c>
      <c r="U55" s="288">
        <f>1/'1a. Spredningsmodell input'!$C$35</f>
        <v>1</v>
      </c>
      <c r="V55" s="300" t="e">
        <f>(1/($N55+Stoff!$L55))*(LN(($D55*$I55/($D55*$I55+$J55))*($F55+Stoff!$L55+$N55+Stoff!$M55)/($N55+Stoff!$M55)))</f>
        <v>#VALUE!</v>
      </c>
      <c r="W55" s="290" t="e">
        <f>($D55-Stoff!$P55*$D55)*EXP(-($F55+Stoff!$L55*365)*V55)</f>
        <v>#VALUE!</v>
      </c>
      <c r="X55" s="291" t="e">
        <f>(Stoff!$P55*$D55)*EXP(-'1a. Spredningsmodell input'!$B$43*V55)</f>
        <v>#VALUE!</v>
      </c>
      <c r="Y55" s="290" t="e">
        <f>($D55-Stoff!$P55*$D55-W55)*($F55/($F55+Stoff!$L55*365))</f>
        <v>#VALUE!</v>
      </c>
      <c r="Z55" s="290" t="e">
        <f>(Stoff!$P55*$D55)-X55</f>
        <v>#VALUE!</v>
      </c>
      <c r="AA55" s="290" t="e">
        <f>($O55+Y55)*EXP(-($N55+Stoff!$M55*365)*V55)</f>
        <v>#VALUE!</v>
      </c>
      <c r="AB55" s="290" t="e">
        <f>(Stoff!$P55*$O55+Z55)*EXP(-('1a. Spredningsmodell input'!$B$46)*V55)</f>
        <v>#VALUE!</v>
      </c>
      <c r="AC55" s="292" t="e">
        <f>((AA55+AB55)*1000000000)/('1a. Spredningsmodell input'!$B$45*1000)</f>
        <v>#VALUE!</v>
      </c>
      <c r="AD55" s="294" t="e">
        <f>0.001*AC55/('1a. Spredningsmodell input'!$C$25+'1a. Spredningsmodell input'!$C$26/Mellomregninger!$K55)</f>
        <v>#VALUE!</v>
      </c>
      <c r="AE55" s="294" t="e">
        <f>1000*AD55/$K55+AB55*1000000000/('1a. Spredningsmodell input'!$B$45*1000)</f>
        <v>#VALUE!</v>
      </c>
      <c r="AF55" s="294" t="e">
        <f t="shared" si="0"/>
        <v>#VALUE!</v>
      </c>
      <c r="AG55" s="294" t="e">
        <f>AB55*1000000000/('1a. Spredningsmodell input'!$B$45*1000)</f>
        <v>#VALUE!</v>
      </c>
      <c r="AH55" s="300" t="e">
        <f>(1/('1a. Spredningsmodell input'!$B$46))*(LN(($D55*Stoff!$P55/($D55*Stoff!$P55+$P55*Stoff!$P55))*('1a. Spredningsmodell input'!$B$43+'1a. Spredningsmodell input'!$B$46)/('1a. Spredningsmodell input'!$B$46)))</f>
        <v>#VALUE!</v>
      </c>
      <c r="AI55" s="290" t="e">
        <f>($D55-Stoff!$P55*$D55)*EXP(-($F55+Stoff!$L55*365)*AH55)</f>
        <v>#VALUE!</v>
      </c>
      <c r="AJ55" s="291" t="e">
        <f>(Stoff!$P55*$D55)*EXP(-'1a. Spredningsmodell input'!$B$43*AH55)</f>
        <v>#VALUE!</v>
      </c>
      <c r="AK55" s="290" t="e">
        <f>($D55-Stoff!$P55*$D55-AI55)*($F55/($F55+Stoff!$L55*365))</f>
        <v>#VALUE!</v>
      </c>
      <c r="AL55" s="290" t="e">
        <f>(Stoff!$P55*$D55)-AJ55</f>
        <v>#VALUE!</v>
      </c>
      <c r="AM55" s="290" t="e">
        <f>($O55+AK55)*EXP(-($N55+Stoff!$M55*365)*AH55)</f>
        <v>#VALUE!</v>
      </c>
      <c r="AN55" s="290" t="e">
        <f>(Stoff!$P55*$O55+AL55)*EXP(-('1a. Spredningsmodell input'!$B$46)*AH55)</f>
        <v>#VALUE!</v>
      </c>
      <c r="AO55" s="292" t="e">
        <f>((AM55+AN55)*1000000000)/('1a. Spredningsmodell input'!$B$45*1000)</f>
        <v>#VALUE!</v>
      </c>
      <c r="AP55" s="294" t="e">
        <f>0.001*AO55/('1a. Spredningsmodell input'!$C$25+'1a. Spredningsmodell input'!$C$26/Mellomregninger!$K55)</f>
        <v>#VALUE!</v>
      </c>
      <c r="AQ55" s="294" t="e">
        <f>1000*AP55/$K55+AN55*1000000000/('1a. Spredningsmodell input'!$B$45*1000)</f>
        <v>#VALUE!</v>
      </c>
      <c r="AR55" s="294" t="e">
        <f t="shared" si="1"/>
        <v>#VALUE!</v>
      </c>
      <c r="AS55" s="294" t="e">
        <f>AN55*1000000000/('1a. Spredningsmodell input'!$B$45*1000)</f>
        <v>#VALUE!</v>
      </c>
      <c r="AT55" s="295">
        <f t="shared" si="25"/>
        <v>5</v>
      </c>
      <c r="AU55" s="290" t="e">
        <f>($D55-Stoff!$P55*$D55)*EXP(-($F55+Stoff!$L55*365)*AT55)</f>
        <v>#VALUE!</v>
      </c>
      <c r="AV55" s="291" t="e">
        <f>(Stoff!$P55*$D55)*EXP(-'1a. Spredningsmodell input'!$B$43*AT55)</f>
        <v>#VALUE!</v>
      </c>
      <c r="AW55" s="290" t="e">
        <f>($D55-Stoff!$P55*$D55-AU55)*($F55/($F55+Stoff!$L55*365))</f>
        <v>#VALUE!</v>
      </c>
      <c r="AX55" s="290" t="e">
        <f>(Stoff!$P55*$D55)-AV55</f>
        <v>#VALUE!</v>
      </c>
      <c r="AY55" s="290" t="e">
        <f>($O55+AW55)*EXP(-($N55+Stoff!$M55*365)*AT55)</f>
        <v>#VALUE!</v>
      </c>
      <c r="AZ55" s="290" t="e">
        <f>(Stoff!$P55*$O55+AX55)*EXP(-('1a. Spredningsmodell input'!$B$46)*AT55)</f>
        <v>#VALUE!</v>
      </c>
      <c r="BA55" s="292" t="e">
        <f>((AY55+AZ55)*1000000000)/('1a. Spredningsmodell input'!$B$45*1000)</f>
        <v>#VALUE!</v>
      </c>
      <c r="BB55" s="294" t="e">
        <f>0.001*BA55/('1a. Spredningsmodell input'!$C$25+'1a. Spredningsmodell input'!$C$26/Mellomregninger!$K55)</f>
        <v>#VALUE!</v>
      </c>
      <c r="BC55" s="294" t="e">
        <f>1000*BB55/$K55+AZ55*1000000000/('1a. Spredningsmodell input'!$B$45*1000)</f>
        <v>#VALUE!</v>
      </c>
      <c r="BD55" s="294" t="e">
        <f t="shared" si="2"/>
        <v>#VALUE!</v>
      </c>
      <c r="BE55" s="294" t="e">
        <f>AZ55*1000000000/('1a. Spredningsmodell input'!$B$45*1000)</f>
        <v>#VALUE!</v>
      </c>
      <c r="BF55" s="295">
        <f t="shared" si="26"/>
        <v>20</v>
      </c>
      <c r="BG55" s="290" t="e">
        <f>($D55-Stoff!$P55*$D55)*EXP(-($F55+Stoff!$L55*365)*BF55)</f>
        <v>#VALUE!</v>
      </c>
      <c r="BH55" s="291" t="e">
        <f>(Stoff!$P55*$D55)*EXP(-'1a. Spredningsmodell input'!$B$43*BF55)</f>
        <v>#VALUE!</v>
      </c>
      <c r="BI55" s="290" t="e">
        <f>($D55-Stoff!$P55*$D55-BG55)*($F55/($F55+Stoff!$L55*365))</f>
        <v>#VALUE!</v>
      </c>
      <c r="BJ55" s="290" t="e">
        <f>(Stoff!$P55*$D55)-BH55</f>
        <v>#VALUE!</v>
      </c>
      <c r="BK55" s="290" t="e">
        <f>($O55+BI55)*EXP(-($N55+Stoff!$M55*365)*BF55)</f>
        <v>#VALUE!</v>
      </c>
      <c r="BL55" s="290" t="e">
        <f>(Stoff!$P55*$O55+BJ55)*EXP(-('1a. Spredningsmodell input'!$B$46)*BF55)</f>
        <v>#VALUE!</v>
      </c>
      <c r="BM55" s="292" t="e">
        <f>((BK55+BL55)*1000000000)/('1a. Spredningsmodell input'!$B$45*1000)</f>
        <v>#VALUE!</v>
      </c>
      <c r="BN55" s="294" t="e">
        <f>0.001*BM55/('1a. Spredningsmodell input'!$C$25+'1a. Spredningsmodell input'!$C$26/Mellomregninger!$K55)</f>
        <v>#VALUE!</v>
      </c>
      <c r="BO55" s="294" t="e">
        <f>1000*BN55/$K55+BL55*1000000000/('1a. Spredningsmodell input'!$B$45*1000)</f>
        <v>#VALUE!</v>
      </c>
      <c r="BP55" s="294" t="e">
        <f t="shared" si="3"/>
        <v>#VALUE!</v>
      </c>
      <c r="BQ55" s="294" t="e">
        <f>BL55*1000000000/('1a. Spredningsmodell input'!$B$45*1000)</f>
        <v>#VALUE!</v>
      </c>
      <c r="BR55" s="295">
        <f t="shared" si="27"/>
        <v>100</v>
      </c>
      <c r="BS55" s="290" t="e">
        <f>($D55-Stoff!$P55*$D55)*EXP(-($F55+Stoff!$L55*365)*BR55)</f>
        <v>#VALUE!</v>
      </c>
      <c r="BT55" s="291" t="e">
        <f>(Stoff!$P55*$D55)*EXP(-'1a. Spredningsmodell input'!$B$43*BR55)</f>
        <v>#VALUE!</v>
      </c>
      <c r="BU55" s="290" t="e">
        <f>($D55-Stoff!$P55*$D55-BS55)*($F55/($F55+Stoff!$L55*365))</f>
        <v>#VALUE!</v>
      </c>
      <c r="BV55" s="290" t="e">
        <f>(Stoff!$P55*$D55)-BT55</f>
        <v>#VALUE!</v>
      </c>
      <c r="BW55" s="290" t="e">
        <f>($O55+BU55)*EXP(-($N55+Stoff!$M55*365)*BR55)</f>
        <v>#VALUE!</v>
      </c>
      <c r="BX55" s="290" t="e">
        <f>(Stoff!$P55*$O55+BV55)*EXP(-('1a. Spredningsmodell input'!$B$46)*BR55)</f>
        <v>#VALUE!</v>
      </c>
      <c r="BY55" s="292" t="e">
        <f>((BW55+BX55)*1000000000)/('1a. Spredningsmodell input'!$B$45*1000)</f>
        <v>#VALUE!</v>
      </c>
      <c r="BZ55" s="294" t="e">
        <f>0.001*BY55/('1a. Spredningsmodell input'!$C$25+'1a. Spredningsmodell input'!$C$26/Mellomregninger!$K55)</f>
        <v>#VALUE!</v>
      </c>
      <c r="CA55" s="294" t="e">
        <f>1000*BZ55/$K55+BX55*1000000000/('1a. Spredningsmodell input'!$B$45*1000)</f>
        <v>#VALUE!</v>
      </c>
      <c r="CB55" s="294" t="e">
        <f t="shared" si="4"/>
        <v>#VALUE!</v>
      </c>
      <c r="CC55" s="294" t="e">
        <f>BX55*1000000000/('1a. Spredningsmodell input'!$B$45*1000)</f>
        <v>#VALUE!</v>
      </c>
      <c r="CD55" s="294" t="e">
        <f>V55+'1a. Spredningsmodell input'!$C$35</f>
        <v>#VALUE!</v>
      </c>
      <c r="CE55" s="294" t="e">
        <f>($S55+$Q55*($O55+$I55*($D55*(1-Stoff!$P55))*(1-EXP(-($F55+Stoff!$L55*365)*CD55)))*(1-EXP(-($N55+Stoff!$M55*365)*CD55)))</f>
        <v>#VALUE!</v>
      </c>
      <c r="CF55" s="294" t="e">
        <f t="shared" si="5"/>
        <v>#VALUE!</v>
      </c>
      <c r="CG55" s="296" t="e">
        <f>(CF55/1000000)*'1a. Spredningsmodell input'!$B$49*'1a. Spredningsmodell input'!$C$35</f>
        <v>#VALUE!</v>
      </c>
      <c r="CH55" s="294" t="e">
        <f t="shared" si="17"/>
        <v>#VALUE!</v>
      </c>
      <c r="CI55" s="290" t="e">
        <f>(CH55/1000000)*'1a. Spredningsmodell input'!$B$49*'1a. Spredningsmodell input'!$C$35</f>
        <v>#VALUE!</v>
      </c>
      <c r="CJ55" s="297" t="e">
        <f>($S55)*EXP(-(Stoff!$N55*365+$U55)*CD55)+CG55</f>
        <v>#VALUE!</v>
      </c>
      <c r="CK55" s="297" t="e">
        <f>(Stoff!$P55*$S55+CI55)*EXP(-$T55*CD55)</f>
        <v>#VALUE!</v>
      </c>
      <c r="CL55" s="297" t="e">
        <f>(CJ55+CK55)*1000000000/('1a. Spredningsmodell input'!$C$36*1000)</f>
        <v>#VALUE!</v>
      </c>
      <c r="CM55" s="297" t="e">
        <f>$G55*(1-EXP(-'1a. Spredningsmodell input'!$B$43*Mellomregninger!CD55))*(1-EXP(-'1a. Spredningsmodell input'!$B$46*Mellomregninger!CD55))</f>
        <v>#VALUE!</v>
      </c>
      <c r="CN55" s="297"/>
      <c r="CO55" s="297"/>
      <c r="CP55" s="290">
        <f>IF(ISNUMBER(AH55),AH55+'1a. Spredningsmodell input'!$C$35,'1a. Spredningsmodell input'!$C$35)</f>
        <v>1</v>
      </c>
      <c r="CQ55" s="294" t="e">
        <f>($S55+$Q55*($O55+$I55*($D55*(1-Stoff!$P55))*(1-EXP(-($F55+Stoff!$L55*365)*CP55)))*(1-EXP(-($N55+Stoff!$M55*365)*CP55)))</f>
        <v>#VALUE!</v>
      </c>
      <c r="CR55" s="294" t="e">
        <f t="shared" si="6"/>
        <v>#VALUE!</v>
      </c>
      <c r="CS55" s="296" t="e">
        <f>(CR55/1000000)*('1a. Spredningsmodell input'!$B$49*'1a. Spredningsmodell input'!$C$35)</f>
        <v>#VALUE!</v>
      </c>
      <c r="CT55" s="294" t="e">
        <f t="shared" si="7"/>
        <v>#VALUE!</v>
      </c>
      <c r="CU55" s="290" t="e">
        <f>(CT55/1000000)*('1a. Spredningsmodell input'!$B$49)*'1a. Spredningsmodell input'!$C$35</f>
        <v>#VALUE!</v>
      </c>
      <c r="CV55" s="297" t="e">
        <f>($S55)*EXP(-(Stoff!$N55*365+$U55)*CP55)+CS55</f>
        <v>#VALUE!</v>
      </c>
      <c r="CW55" s="297" t="e">
        <f>(Stoff!$P55*$S55+CU55)*EXP(-$T55*CP55)</f>
        <v>#VALUE!</v>
      </c>
      <c r="CX55" s="297">
        <f>IF(ISERROR(CV55),0,(CV55+CW55)*1000000000/('1a. Spredningsmodell input'!$C$36*1000))</f>
        <v>0</v>
      </c>
      <c r="CY55" s="297" t="e">
        <f>$G55*(1-EXP(-'1a. Spredningsmodell input'!$B$43*Mellomregninger!CP55))*(1-EXP(-'1a. Spredningsmodell input'!$B$46*Mellomregninger!CP55))</f>
        <v>#VALUE!</v>
      </c>
      <c r="CZ55" s="297"/>
      <c r="DA55" s="297"/>
      <c r="DB55" s="262">
        <f t="shared" si="28"/>
        <v>5</v>
      </c>
      <c r="DC55" s="298" t="e">
        <f>($S55+$Q55*($O55+$I55*($D55*(1-Stoff!$P55))*(1-EXP(-($F55+Stoff!$L55*365)*DB55)))*(1-EXP(-($N55+Stoff!$M55*365)*DB55)))</f>
        <v>#VALUE!</v>
      </c>
      <c r="DD55" s="294" t="e">
        <f t="shared" si="8"/>
        <v>#VALUE!</v>
      </c>
      <c r="DE55" s="296" t="e">
        <f>(DD55/1000000)*('1a. Spredningsmodell input'!$B$49)*'1a. Spredningsmodell input'!$C$35</f>
        <v>#VALUE!</v>
      </c>
      <c r="DF55" s="294" t="e">
        <f t="shared" si="19"/>
        <v>#VALUE!</v>
      </c>
      <c r="DG55" s="290" t="e">
        <f>(DF55/1000000)*('1a. Spredningsmodell input'!$B$49)*'1a. Spredningsmodell input'!$C$35</f>
        <v>#VALUE!</v>
      </c>
      <c r="DH55" s="297" t="e">
        <f>($S55)*EXP(-(Stoff!$N55*365+$U55)*DB55)+DE55</f>
        <v>#VALUE!</v>
      </c>
      <c r="DI55" s="297" t="e">
        <f>(Stoff!$P55*$S55+DG55)*EXP(-$T55*DB55)</f>
        <v>#VALUE!</v>
      </c>
      <c r="DJ55" s="297" t="e">
        <f>(DH55+DI55)*1000000000/('1a. Spredningsmodell input'!$C$36*1000)</f>
        <v>#VALUE!</v>
      </c>
      <c r="DK55" s="297" t="e">
        <f>$G55*(1-EXP(-'1a. Spredningsmodell input'!$B$43*Mellomregninger!DB55))*(1-EXP(-'1a. Spredningsmodell input'!$B$46*Mellomregninger!DB55))</f>
        <v>#VALUE!</v>
      </c>
      <c r="DL55" s="297"/>
      <c r="DM55" s="297"/>
      <c r="DN55" s="262">
        <f t="shared" si="29"/>
        <v>20</v>
      </c>
      <c r="DO55" s="298" t="e">
        <f>($S55+$Q55*($O55+$I55*($D55*(1-Stoff!$P55))*(1-EXP(-($F55+Stoff!$L55*365)*DN55)))*(1-EXP(-($N55+Stoff!$M55*365)*DN55)))</f>
        <v>#VALUE!</v>
      </c>
      <c r="DP55" s="294" t="e">
        <f t="shared" si="21"/>
        <v>#VALUE!</v>
      </c>
      <c r="DQ55" s="296" t="e">
        <f>(DP55/1000000)*('1a. Spredningsmodell input'!$B$49)*'1a. Spredningsmodell input'!$C$35</f>
        <v>#VALUE!</v>
      </c>
      <c r="DR55" s="294" t="e">
        <f t="shared" si="9"/>
        <v>#VALUE!</v>
      </c>
      <c r="DS55" s="290" t="e">
        <f>(DR55/1000000)*('1a. Spredningsmodell input'!$B$49)*'1a. Spredningsmodell input'!$C$35</f>
        <v>#VALUE!</v>
      </c>
      <c r="DT55" s="297" t="e">
        <f>($S55)*EXP(-(Stoff!$N55*365+$U55)*DN55)+DQ55</f>
        <v>#VALUE!</v>
      </c>
      <c r="DU55" s="297" t="e">
        <f>(Stoff!$P55*$S55+DS55)*EXP(-$T55*DN55)</f>
        <v>#VALUE!</v>
      </c>
      <c r="DV55" s="297" t="e">
        <f>(DT55+DU55)*1000000000/('1a. Spredningsmodell input'!$C$36*1000)</f>
        <v>#VALUE!</v>
      </c>
      <c r="DW55" s="297" t="e">
        <f>$G55*(1-EXP(-'1a. Spredningsmodell input'!$B$43*Mellomregninger!DN55))*(1-EXP(-'1a. Spredningsmodell input'!$B$46*Mellomregninger!DN55))</f>
        <v>#VALUE!</v>
      </c>
      <c r="DX55" s="297"/>
      <c r="DY55" s="297"/>
      <c r="DZ55" s="262">
        <f t="shared" si="30"/>
        <v>100</v>
      </c>
      <c r="EA55" s="298" t="e">
        <f>($S55+$Q55*($O55+$I55*($D55*(1-Stoff!$P55))*(1-EXP(-($F55+Stoff!$L55*365)*DZ55)))*(1-EXP(-($N55+Stoff!$M55*365)*DZ55)))</f>
        <v>#VALUE!</v>
      </c>
      <c r="EB55" s="294" t="e">
        <f t="shared" si="10"/>
        <v>#VALUE!</v>
      </c>
      <c r="EC55" s="296" t="e">
        <f>(EB55/1000000)*('1a. Spredningsmodell input'!$B$49)*'1a. Spredningsmodell input'!$C$35</f>
        <v>#VALUE!</v>
      </c>
      <c r="ED55" s="294" t="e">
        <f t="shared" si="11"/>
        <v>#VALUE!</v>
      </c>
      <c r="EE55" s="290" t="e">
        <f>(ED55/1000000)*('1a. Spredningsmodell input'!$B$49)*'1a. Spredningsmodell input'!$C$35</f>
        <v>#VALUE!</v>
      </c>
      <c r="EF55" s="297" t="e">
        <f>($S55)*EXP(-(Stoff!$N55*365+$U55)*DZ55)+EC55</f>
        <v>#VALUE!</v>
      </c>
      <c r="EG55" s="297" t="e">
        <f>(Stoff!$P55*$S55+EE55)*EXP(-$T55*DZ55)</f>
        <v>#VALUE!</v>
      </c>
      <c r="EH55" s="297" t="e">
        <f>(EF55+EG55)*1000000000/('1a. Spredningsmodell input'!$C$36*1000)</f>
        <v>#VALUE!</v>
      </c>
      <c r="EI55" s="297" t="e">
        <f>$G55*(1-EXP(-'1a. Spredningsmodell input'!$B$43*Mellomregninger!DZ55))*(1-EXP(-'1a. Spredningsmodell input'!$B$46*Mellomregninger!DZ55))</f>
        <v>#VALUE!</v>
      </c>
      <c r="EJ55" s="297"/>
      <c r="EK55" s="297"/>
      <c r="EL55" s="262">
        <f t="shared" si="31"/>
        <v>1.0000000000000001E+25</v>
      </c>
      <c r="EM55" s="294" t="e">
        <f>($S55+$Q55*($O55+$I55*($D55*(1-Stoff!$P55))*(1-EXP(-($F55+Stoff!$L55*365)*EL55)))*(1-EXP(-($N55+Stoff!$M55*365)*EL55)))</f>
        <v>#VALUE!</v>
      </c>
      <c r="EN55" s="296" t="e">
        <f>($S55+$Q55*($O55+$I55*($D55*(1-Stoff!$P55))*(1-EXP(-($F55+Stoff!$L55*365)*(EL55-'1a. Spredningsmodell input'!$C$35))))*(1-EXP(-($N55+Stoff!$M55*365)*(EL55-'1a. Spredningsmodell input'!$C$35))))</f>
        <v>#VALUE!</v>
      </c>
      <c r="EO55" s="294" t="e">
        <f>IF(EL55&lt;'1a. Spredningsmodell input'!$C$35,EM55-($S55)*EXP(-(Stoff!$N55*365+$U55)*EL55),EM55-EN55)</f>
        <v>#VALUE!</v>
      </c>
      <c r="EP55" s="290" t="e">
        <f>((($D55*(Stoff!$P55))*(1-EXP(-'1a. Spredningsmodell input'!$B$43*EL55)))*(1-EXP(-'1a. Spredningsmodell input'!$B$46*EL55)))</f>
        <v>#VALUE!</v>
      </c>
      <c r="EQ55" s="294" t="e">
        <f>((($D55*(Stoff!$P55))*(1-EXP(-'1a. Spredningsmodell input'!$B$43*(EL55-'1a. Spredningsmodell input'!$C$35))))*(1-EXP(-'1a. Spredningsmodell input'!$B$46*(EL55-'1a. Spredningsmodell input'!$C$35))))</f>
        <v>#VALUE!</v>
      </c>
      <c r="ER55" s="290" t="e">
        <f>IF(EL55&lt;'1a. Spredningsmodell input'!$C$35,0,EP55-EQ55)</f>
        <v>#VALUE!</v>
      </c>
      <c r="ES55" s="297" t="e">
        <f>($S55)*EXP(-(Stoff!$N55*365+$U55)*EL55)+EO55</f>
        <v>#VALUE!</v>
      </c>
      <c r="ET55" s="297" t="e">
        <f>(Stoff!$P55*$S55+ER55)*EXP(-$T55*EL55)</f>
        <v>#VALUE!</v>
      </c>
      <c r="EU55" s="297" t="e">
        <f>(ES55+ET55)*1000000000/('1a. Spredningsmodell input'!$C$36*1000)</f>
        <v>#VALUE!</v>
      </c>
      <c r="EV55" s="262" t="e">
        <f t="shared" si="32"/>
        <v>#VALUE!</v>
      </c>
      <c r="EW55" s="299" t="e">
        <f t="shared" si="33"/>
        <v>#VALUE!</v>
      </c>
      <c r="EX55" s="262" t="e">
        <f t="shared" si="34"/>
        <v>#VALUE!</v>
      </c>
    </row>
    <row r="56" spans="1:154" x14ac:dyDescent="0.35">
      <c r="A56" s="50" t="s">
        <v>154</v>
      </c>
      <c r="B56" s="34" t="str">
        <f>IF(ISNUMBER('1c. Kons. porevann'!E56),1000*'1c. Kons. porevann'!E56,IF(ISNUMBER('1b. Kons. umettet jord'!E56),1000*'1b. Kons. umettet jord'!E56/C56,""))</f>
        <v/>
      </c>
      <c r="C56" s="244">
        <f>IF(Stoff!B56="uorganisk",Stoff!C56,Stoff!D56*'1a. Spredningsmodell input'!$C$11)</f>
        <v>1.34</v>
      </c>
      <c r="D56" s="34" t="str">
        <f>IF(ISNUMBER(B56),0.000001*('1b. Kons. umettet jord'!G56*'1a. Spredningsmodell input'!$C$12+B56*0.001*'1a. Spredningsmodell input'!$C$14)*1000*'1a. Spredningsmodell input'!$B$41*'1a. Spredningsmodell input'!$C$18,"")</f>
        <v/>
      </c>
      <c r="E56" s="283">
        <f>C56*'1a. Spredningsmodell input'!$C$12/'1a. Spredningsmodell input'!$C$14+1</f>
        <v>12.389999999999999</v>
      </c>
      <c r="F56" s="284">
        <f>'1a. Spredningsmodell input'!$B$43/E56</f>
        <v>0.12106537530266344</v>
      </c>
      <c r="G56" s="34" t="e">
        <f>Stoff!P56*Mellomregninger!D56</f>
        <v>#VALUE!</v>
      </c>
      <c r="H56" s="283" t="e">
        <f>(D56-G56)*(F56/(F56+Stoff!L56))</f>
        <v>#VALUE!</v>
      </c>
      <c r="I56" s="283">
        <f>F56/(F56+Stoff!L56)</f>
        <v>1</v>
      </c>
      <c r="J56" s="285" t="str">
        <f>IF(B56="","",IF(ISNUMBER('1d. Kons. mettet sone'!E56),'1d. Kons. mettet sone'!E56,IF(ISNUMBER('1e. Kons. grunnvann'!E56),'1e. Kons. grunnvann'!E56*Mellomregninger!K56,0)))</f>
        <v/>
      </c>
      <c r="K56" s="286">
        <f>IF(Stoff!B56="uorganisk",Stoff!C56,Stoff!D56*'1a. Spredningsmodell input'!$C$24)</f>
        <v>0.13400000000000001</v>
      </c>
      <c r="L56" s="27" t="e">
        <f>IF(ISNUMBER('1e. Kons. grunnvann'!E56),1000*'1e. Kons. grunnvann'!E56,1000*J56/K56)</f>
        <v>#VALUE!</v>
      </c>
      <c r="M56" s="34">
        <f>K56*'1a. Spredningsmodell input'!$C$25/'1a. Spredningsmodell input'!$C$26+1</f>
        <v>1.5695000000000001</v>
      </c>
      <c r="N56" s="284">
        <f>'1a. Spredningsmodell input'!$C$26/M56</f>
        <v>0.2548582351067219</v>
      </c>
      <c r="O56" s="287" t="e">
        <f>0.000000001*(J56*'1a. Spredningsmodell input'!$C$25+L56)*1000*'1a. Spredningsmodell input'!$B$45</f>
        <v>#VALUE!</v>
      </c>
      <c r="P56" s="287" t="e">
        <f>O56*Stoff!P56</f>
        <v>#VALUE!</v>
      </c>
      <c r="Q56" s="287">
        <f>N56/(N56+Stoff!M56)</f>
        <v>1</v>
      </c>
      <c r="R56" s="288">
        <f>IF(ISNUMBER('1f. Kons. resipient'!E56),'1f. Kons. resipient'!E56,0)</f>
        <v>0</v>
      </c>
      <c r="S56" s="288">
        <f>0.000000001*'1a. Spredningsmodell input'!$C$36*R56*1000</f>
        <v>0</v>
      </c>
      <c r="T56" s="288">
        <f>1/'1a. Spredningsmodell input'!$C$35</f>
        <v>1</v>
      </c>
      <c r="U56" s="288">
        <f>1/'1a. Spredningsmodell input'!$C$35</f>
        <v>1</v>
      </c>
      <c r="V56" s="300" t="e">
        <f>(1/($N56+Stoff!$L56))*(LN(($D56*$I56/($D56*$I56+$J56))*($F56+Stoff!$L56+$N56+Stoff!$M56)/($N56+Stoff!$M56)))</f>
        <v>#VALUE!</v>
      </c>
      <c r="W56" s="290" t="e">
        <f>($D56-Stoff!$P56*$D56)*EXP(-($F56+Stoff!$L56*365)*V56)</f>
        <v>#VALUE!</v>
      </c>
      <c r="X56" s="291" t="e">
        <f>(Stoff!$P56*$D56)*EXP(-'1a. Spredningsmodell input'!$B$43*V56)</f>
        <v>#VALUE!</v>
      </c>
      <c r="Y56" s="290" t="e">
        <f>($D56-Stoff!$P56*$D56-W56)*($F56/($F56+Stoff!$L56*365))</f>
        <v>#VALUE!</v>
      </c>
      <c r="Z56" s="290" t="e">
        <f>(Stoff!$P56*$D56)-X56</f>
        <v>#VALUE!</v>
      </c>
      <c r="AA56" s="290" t="e">
        <f>($O56+Y56)*EXP(-($N56+Stoff!$M56*365)*V56)</f>
        <v>#VALUE!</v>
      </c>
      <c r="AB56" s="290" t="e">
        <f>(Stoff!$P56*$O56+Z56)*EXP(-('1a. Spredningsmodell input'!$B$46)*V56)</f>
        <v>#VALUE!</v>
      </c>
      <c r="AC56" s="292" t="e">
        <f>((AA56+AB56)*1000000000)/('1a. Spredningsmodell input'!$B$45*1000)</f>
        <v>#VALUE!</v>
      </c>
      <c r="AD56" s="294" t="e">
        <f>0.001*AC56/('1a. Spredningsmodell input'!$C$25+'1a. Spredningsmodell input'!$C$26/Mellomregninger!$K56)</f>
        <v>#VALUE!</v>
      </c>
      <c r="AE56" s="294" t="e">
        <f>1000*AD56/$K56+AB56*1000000000/('1a. Spredningsmodell input'!$B$45*1000)</f>
        <v>#VALUE!</v>
      </c>
      <c r="AF56" s="294" t="e">
        <f t="shared" si="0"/>
        <v>#VALUE!</v>
      </c>
      <c r="AG56" s="294" t="e">
        <f>AB56*1000000000/('1a. Spredningsmodell input'!$B$45*1000)</f>
        <v>#VALUE!</v>
      </c>
      <c r="AH56" s="300" t="e">
        <f>(1/('1a. Spredningsmodell input'!$B$46))*(LN(($D56*Stoff!$P56/($D56*Stoff!$P56+$P56*Stoff!$P56))*('1a. Spredningsmodell input'!$B$43+'1a. Spredningsmodell input'!$B$46)/('1a. Spredningsmodell input'!$B$46)))</f>
        <v>#VALUE!</v>
      </c>
      <c r="AI56" s="290" t="e">
        <f>($D56-Stoff!$P56*$D56)*EXP(-($F56+Stoff!$L56*365)*AH56)</f>
        <v>#VALUE!</v>
      </c>
      <c r="AJ56" s="291" t="e">
        <f>(Stoff!$P56*$D56)*EXP(-'1a. Spredningsmodell input'!$B$43*AH56)</f>
        <v>#VALUE!</v>
      </c>
      <c r="AK56" s="290" t="e">
        <f>($D56-Stoff!$P56*$D56-AI56)*($F56/($F56+Stoff!$L56*365))</f>
        <v>#VALUE!</v>
      </c>
      <c r="AL56" s="290" t="e">
        <f>(Stoff!$P56*$D56)-AJ56</f>
        <v>#VALUE!</v>
      </c>
      <c r="AM56" s="290" t="e">
        <f>($O56+AK56)*EXP(-($N56+Stoff!$M56*365)*AH56)</f>
        <v>#VALUE!</v>
      </c>
      <c r="AN56" s="290" t="e">
        <f>(Stoff!$P56*$O56+AL56)*EXP(-('1a. Spredningsmodell input'!$B$46)*AH56)</f>
        <v>#VALUE!</v>
      </c>
      <c r="AO56" s="292" t="e">
        <f>((AM56+AN56)*1000000000)/('1a. Spredningsmodell input'!$B$45*1000)</f>
        <v>#VALUE!</v>
      </c>
      <c r="AP56" s="294" t="e">
        <f>0.001*AO56/('1a. Spredningsmodell input'!$C$25+'1a. Spredningsmodell input'!$C$26/Mellomregninger!$K56)</f>
        <v>#VALUE!</v>
      </c>
      <c r="AQ56" s="294" t="e">
        <f>1000*AP56/$K56+AN56*1000000000/('1a. Spredningsmodell input'!$B$45*1000)</f>
        <v>#VALUE!</v>
      </c>
      <c r="AR56" s="294" t="e">
        <f t="shared" si="1"/>
        <v>#VALUE!</v>
      </c>
      <c r="AS56" s="294" t="e">
        <f>AN56*1000000000/('1a. Spredningsmodell input'!$B$45*1000)</f>
        <v>#VALUE!</v>
      </c>
      <c r="AT56" s="295">
        <f t="shared" si="25"/>
        <v>5</v>
      </c>
      <c r="AU56" s="290" t="e">
        <f>($D56-Stoff!$P56*$D56)*EXP(-($F56+Stoff!$L56*365)*AT56)</f>
        <v>#VALUE!</v>
      </c>
      <c r="AV56" s="291" t="e">
        <f>(Stoff!$P56*$D56)*EXP(-'1a. Spredningsmodell input'!$B$43*AT56)</f>
        <v>#VALUE!</v>
      </c>
      <c r="AW56" s="290" t="e">
        <f>($D56-Stoff!$P56*$D56-AU56)*($F56/($F56+Stoff!$L56*365))</f>
        <v>#VALUE!</v>
      </c>
      <c r="AX56" s="290" t="e">
        <f>(Stoff!$P56*$D56)-AV56</f>
        <v>#VALUE!</v>
      </c>
      <c r="AY56" s="290" t="e">
        <f>($O56+AW56)*EXP(-($N56+Stoff!$M56*365)*AT56)</f>
        <v>#VALUE!</v>
      </c>
      <c r="AZ56" s="290" t="e">
        <f>(Stoff!$P56*$O56+AX56)*EXP(-('1a. Spredningsmodell input'!$B$46)*AT56)</f>
        <v>#VALUE!</v>
      </c>
      <c r="BA56" s="292" t="e">
        <f>((AY56+AZ56)*1000000000)/('1a. Spredningsmodell input'!$B$45*1000)</f>
        <v>#VALUE!</v>
      </c>
      <c r="BB56" s="294" t="e">
        <f>0.001*BA56/('1a. Spredningsmodell input'!$C$25+'1a. Spredningsmodell input'!$C$26/Mellomregninger!$K56)</f>
        <v>#VALUE!</v>
      </c>
      <c r="BC56" s="294" t="e">
        <f>1000*BB56/$K56+AZ56*1000000000/('1a. Spredningsmodell input'!$B$45*1000)</f>
        <v>#VALUE!</v>
      </c>
      <c r="BD56" s="294" t="e">
        <f t="shared" si="2"/>
        <v>#VALUE!</v>
      </c>
      <c r="BE56" s="294" t="e">
        <f>AZ56*1000000000/('1a. Spredningsmodell input'!$B$45*1000)</f>
        <v>#VALUE!</v>
      </c>
      <c r="BF56" s="295">
        <f t="shared" si="26"/>
        <v>20</v>
      </c>
      <c r="BG56" s="290" t="e">
        <f>($D56-Stoff!$P56*$D56)*EXP(-($F56+Stoff!$L56*365)*BF56)</f>
        <v>#VALUE!</v>
      </c>
      <c r="BH56" s="291" t="e">
        <f>(Stoff!$P56*$D56)*EXP(-'1a. Spredningsmodell input'!$B$43*BF56)</f>
        <v>#VALUE!</v>
      </c>
      <c r="BI56" s="290" t="e">
        <f>($D56-Stoff!$P56*$D56-BG56)*($F56/($F56+Stoff!$L56*365))</f>
        <v>#VALUE!</v>
      </c>
      <c r="BJ56" s="290" t="e">
        <f>(Stoff!$P56*$D56)-BH56</f>
        <v>#VALUE!</v>
      </c>
      <c r="BK56" s="290" t="e">
        <f>($O56+BI56)*EXP(-($N56+Stoff!$M56*365)*BF56)</f>
        <v>#VALUE!</v>
      </c>
      <c r="BL56" s="290" t="e">
        <f>(Stoff!$P56*$O56+BJ56)*EXP(-('1a. Spredningsmodell input'!$B$46)*BF56)</f>
        <v>#VALUE!</v>
      </c>
      <c r="BM56" s="292" t="e">
        <f>((BK56+BL56)*1000000000)/('1a. Spredningsmodell input'!$B$45*1000)</f>
        <v>#VALUE!</v>
      </c>
      <c r="BN56" s="294" t="e">
        <f>0.001*BM56/('1a. Spredningsmodell input'!$C$25+'1a. Spredningsmodell input'!$C$26/Mellomregninger!$K56)</f>
        <v>#VALUE!</v>
      </c>
      <c r="BO56" s="294" t="e">
        <f>1000*BN56/$K56+BL56*1000000000/('1a. Spredningsmodell input'!$B$45*1000)</f>
        <v>#VALUE!</v>
      </c>
      <c r="BP56" s="294" t="e">
        <f t="shared" si="3"/>
        <v>#VALUE!</v>
      </c>
      <c r="BQ56" s="294" t="e">
        <f>BL56*1000000000/('1a. Spredningsmodell input'!$B$45*1000)</f>
        <v>#VALUE!</v>
      </c>
      <c r="BR56" s="295">
        <f t="shared" si="27"/>
        <v>100</v>
      </c>
      <c r="BS56" s="290" t="e">
        <f>($D56-Stoff!$P56*$D56)*EXP(-($F56+Stoff!$L56*365)*BR56)</f>
        <v>#VALUE!</v>
      </c>
      <c r="BT56" s="291" t="e">
        <f>(Stoff!$P56*$D56)*EXP(-'1a. Spredningsmodell input'!$B$43*BR56)</f>
        <v>#VALUE!</v>
      </c>
      <c r="BU56" s="290" t="e">
        <f>($D56-Stoff!$P56*$D56-BS56)*($F56/($F56+Stoff!$L56*365))</f>
        <v>#VALUE!</v>
      </c>
      <c r="BV56" s="290" t="e">
        <f>(Stoff!$P56*$D56)-BT56</f>
        <v>#VALUE!</v>
      </c>
      <c r="BW56" s="290" t="e">
        <f>($O56+BU56)*EXP(-($N56+Stoff!$M56*365)*BR56)</f>
        <v>#VALUE!</v>
      </c>
      <c r="BX56" s="290" t="e">
        <f>(Stoff!$P56*$O56+BV56)*EXP(-('1a. Spredningsmodell input'!$B$46)*BR56)</f>
        <v>#VALUE!</v>
      </c>
      <c r="BY56" s="292" t="e">
        <f>((BW56+BX56)*1000000000)/('1a. Spredningsmodell input'!$B$45*1000)</f>
        <v>#VALUE!</v>
      </c>
      <c r="BZ56" s="294" t="e">
        <f>0.001*BY56/('1a. Spredningsmodell input'!$C$25+'1a. Spredningsmodell input'!$C$26/Mellomregninger!$K56)</f>
        <v>#VALUE!</v>
      </c>
      <c r="CA56" s="294" t="e">
        <f>1000*BZ56/$K56+BX56*1000000000/('1a. Spredningsmodell input'!$B$45*1000)</f>
        <v>#VALUE!</v>
      </c>
      <c r="CB56" s="294" t="e">
        <f t="shared" si="4"/>
        <v>#VALUE!</v>
      </c>
      <c r="CC56" s="294" t="e">
        <f>BX56*1000000000/('1a. Spredningsmodell input'!$B$45*1000)</f>
        <v>#VALUE!</v>
      </c>
      <c r="CD56" s="294" t="e">
        <f>V56+'1a. Spredningsmodell input'!$C$35</f>
        <v>#VALUE!</v>
      </c>
      <c r="CE56" s="294" t="e">
        <f>($S56+$Q56*($O56+$I56*($D56*(1-Stoff!$P56))*(1-EXP(-($F56+Stoff!$L56*365)*CD56)))*(1-EXP(-($N56+Stoff!$M56*365)*CD56)))</f>
        <v>#VALUE!</v>
      </c>
      <c r="CF56" s="294" t="e">
        <f t="shared" si="5"/>
        <v>#VALUE!</v>
      </c>
      <c r="CG56" s="296" t="e">
        <f>(CF56/1000000)*'1a. Spredningsmodell input'!$B$49*'1a. Spredningsmodell input'!$C$35</f>
        <v>#VALUE!</v>
      </c>
      <c r="CH56" s="294" t="e">
        <f t="shared" si="17"/>
        <v>#VALUE!</v>
      </c>
      <c r="CI56" s="290" t="e">
        <f>(CH56/1000000)*'1a. Spredningsmodell input'!$B$49*'1a. Spredningsmodell input'!$C$35</f>
        <v>#VALUE!</v>
      </c>
      <c r="CJ56" s="297" t="e">
        <f>($S56)*EXP(-(Stoff!$N56*365+$U56)*CD56)+CG56</f>
        <v>#VALUE!</v>
      </c>
      <c r="CK56" s="297" t="e">
        <f>(Stoff!$P56*$S56+CI56)*EXP(-$T56*CD56)</f>
        <v>#VALUE!</v>
      </c>
      <c r="CL56" s="297" t="e">
        <f>(CJ56+CK56)*1000000000/('1a. Spredningsmodell input'!$C$36*1000)</f>
        <v>#VALUE!</v>
      </c>
      <c r="CM56" s="297" t="e">
        <f>$G56*(1-EXP(-'1a. Spredningsmodell input'!$B$43*Mellomregninger!CD56))*(1-EXP(-'1a. Spredningsmodell input'!$B$46*Mellomregninger!CD56))</f>
        <v>#VALUE!</v>
      </c>
      <c r="CN56" s="297"/>
      <c r="CO56" s="297"/>
      <c r="CP56" s="290">
        <f>IF(ISNUMBER(AH56),AH56+'1a. Spredningsmodell input'!$C$35,'1a. Spredningsmodell input'!$C$35)</f>
        <v>1</v>
      </c>
      <c r="CQ56" s="294" t="e">
        <f>($S56+$Q56*($O56+$I56*($D56*(1-Stoff!$P56))*(1-EXP(-($F56+Stoff!$L56*365)*CP56)))*(1-EXP(-($N56+Stoff!$M56*365)*CP56)))</f>
        <v>#VALUE!</v>
      </c>
      <c r="CR56" s="294" t="e">
        <f t="shared" si="6"/>
        <v>#VALUE!</v>
      </c>
      <c r="CS56" s="296" t="e">
        <f>(CR56/1000000)*('1a. Spredningsmodell input'!$B$49*'1a. Spredningsmodell input'!$C$35)</f>
        <v>#VALUE!</v>
      </c>
      <c r="CT56" s="294" t="e">
        <f t="shared" si="7"/>
        <v>#VALUE!</v>
      </c>
      <c r="CU56" s="290" t="e">
        <f>(CT56/1000000)*('1a. Spredningsmodell input'!$B$49)*'1a. Spredningsmodell input'!$C$35</f>
        <v>#VALUE!</v>
      </c>
      <c r="CV56" s="297" t="e">
        <f>($S56)*EXP(-(Stoff!$N56*365+$U56)*CP56)+CS56</f>
        <v>#VALUE!</v>
      </c>
      <c r="CW56" s="297" t="e">
        <f>(Stoff!$P56*$S56+CU56)*EXP(-$T56*CP56)</f>
        <v>#VALUE!</v>
      </c>
      <c r="CX56" s="297">
        <f>IF(ISERROR(CV56),0,(CV56+CW56)*1000000000/('1a. Spredningsmodell input'!$C$36*1000))</f>
        <v>0</v>
      </c>
      <c r="CY56" s="297" t="e">
        <f>$G56*(1-EXP(-'1a. Spredningsmodell input'!$B$43*Mellomregninger!CP56))*(1-EXP(-'1a. Spredningsmodell input'!$B$46*Mellomregninger!CP56))</f>
        <v>#VALUE!</v>
      </c>
      <c r="CZ56" s="297"/>
      <c r="DA56" s="297"/>
      <c r="DB56" s="262">
        <f t="shared" si="28"/>
        <v>5</v>
      </c>
      <c r="DC56" s="298" t="e">
        <f>($S56+$Q56*($O56+$I56*($D56*(1-Stoff!$P56))*(1-EXP(-($F56+Stoff!$L56*365)*DB56)))*(1-EXP(-($N56+Stoff!$M56*365)*DB56)))</f>
        <v>#VALUE!</v>
      </c>
      <c r="DD56" s="294" t="e">
        <f t="shared" si="8"/>
        <v>#VALUE!</v>
      </c>
      <c r="DE56" s="296" t="e">
        <f>(DD56/1000000)*('1a. Spredningsmodell input'!$B$49)*'1a. Spredningsmodell input'!$C$35</f>
        <v>#VALUE!</v>
      </c>
      <c r="DF56" s="294" t="e">
        <f t="shared" si="19"/>
        <v>#VALUE!</v>
      </c>
      <c r="DG56" s="290" t="e">
        <f>(DF56/1000000)*('1a. Spredningsmodell input'!$B$49)*'1a. Spredningsmodell input'!$C$35</f>
        <v>#VALUE!</v>
      </c>
      <c r="DH56" s="297" t="e">
        <f>($S56)*EXP(-(Stoff!$N56*365+$U56)*DB56)+DE56</f>
        <v>#VALUE!</v>
      </c>
      <c r="DI56" s="297" t="e">
        <f>(Stoff!$P56*$S56+DG56)*EXP(-$T56*DB56)</f>
        <v>#VALUE!</v>
      </c>
      <c r="DJ56" s="297" t="e">
        <f>(DH56+DI56)*1000000000/('1a. Spredningsmodell input'!$C$36*1000)</f>
        <v>#VALUE!</v>
      </c>
      <c r="DK56" s="297" t="e">
        <f>$G56*(1-EXP(-'1a. Spredningsmodell input'!$B$43*Mellomregninger!DB56))*(1-EXP(-'1a. Spredningsmodell input'!$B$46*Mellomregninger!DB56))</f>
        <v>#VALUE!</v>
      </c>
      <c r="DL56" s="297"/>
      <c r="DM56" s="297"/>
      <c r="DN56" s="262">
        <f t="shared" si="29"/>
        <v>20</v>
      </c>
      <c r="DO56" s="298" t="e">
        <f>($S56+$Q56*($O56+$I56*($D56*(1-Stoff!$P56))*(1-EXP(-($F56+Stoff!$L56*365)*DN56)))*(1-EXP(-($N56+Stoff!$M56*365)*DN56)))</f>
        <v>#VALUE!</v>
      </c>
      <c r="DP56" s="294" t="e">
        <f t="shared" si="21"/>
        <v>#VALUE!</v>
      </c>
      <c r="DQ56" s="296" t="e">
        <f>(DP56/1000000)*('1a. Spredningsmodell input'!$B$49)*'1a. Spredningsmodell input'!$C$35</f>
        <v>#VALUE!</v>
      </c>
      <c r="DR56" s="294" t="e">
        <f t="shared" si="9"/>
        <v>#VALUE!</v>
      </c>
      <c r="DS56" s="290" t="e">
        <f>(DR56/1000000)*('1a. Spredningsmodell input'!$B$49)*'1a. Spredningsmodell input'!$C$35</f>
        <v>#VALUE!</v>
      </c>
      <c r="DT56" s="297" t="e">
        <f>($S56)*EXP(-(Stoff!$N56*365+$U56)*DN56)+DQ56</f>
        <v>#VALUE!</v>
      </c>
      <c r="DU56" s="297" t="e">
        <f>(Stoff!$P56*$S56+DS56)*EXP(-$T56*DN56)</f>
        <v>#VALUE!</v>
      </c>
      <c r="DV56" s="297" t="e">
        <f>(DT56+DU56)*1000000000/('1a. Spredningsmodell input'!$C$36*1000)</f>
        <v>#VALUE!</v>
      </c>
      <c r="DW56" s="297" t="e">
        <f>$G56*(1-EXP(-'1a. Spredningsmodell input'!$B$43*Mellomregninger!DN56))*(1-EXP(-'1a. Spredningsmodell input'!$B$46*Mellomregninger!DN56))</f>
        <v>#VALUE!</v>
      </c>
      <c r="DX56" s="297"/>
      <c r="DY56" s="297"/>
      <c r="DZ56" s="262">
        <f t="shared" si="30"/>
        <v>100</v>
      </c>
      <c r="EA56" s="298" t="e">
        <f>($S56+$Q56*($O56+$I56*($D56*(1-Stoff!$P56))*(1-EXP(-($F56+Stoff!$L56*365)*DZ56)))*(1-EXP(-($N56+Stoff!$M56*365)*DZ56)))</f>
        <v>#VALUE!</v>
      </c>
      <c r="EB56" s="294" t="e">
        <f t="shared" si="10"/>
        <v>#VALUE!</v>
      </c>
      <c r="EC56" s="296" t="e">
        <f>(EB56/1000000)*('1a. Spredningsmodell input'!$B$49)*'1a. Spredningsmodell input'!$C$35</f>
        <v>#VALUE!</v>
      </c>
      <c r="ED56" s="294" t="e">
        <f t="shared" si="11"/>
        <v>#VALUE!</v>
      </c>
      <c r="EE56" s="290" t="e">
        <f>(ED56/1000000)*('1a. Spredningsmodell input'!$B$49)*'1a. Spredningsmodell input'!$C$35</f>
        <v>#VALUE!</v>
      </c>
      <c r="EF56" s="297" t="e">
        <f>($S56)*EXP(-(Stoff!$N56*365+$U56)*DZ56)+EC56</f>
        <v>#VALUE!</v>
      </c>
      <c r="EG56" s="297" t="e">
        <f>(Stoff!$P56*$S56+EE56)*EXP(-$T56*DZ56)</f>
        <v>#VALUE!</v>
      </c>
      <c r="EH56" s="297" t="e">
        <f>(EF56+EG56)*1000000000/('1a. Spredningsmodell input'!$C$36*1000)</f>
        <v>#VALUE!</v>
      </c>
      <c r="EI56" s="297" t="e">
        <f>$G56*(1-EXP(-'1a. Spredningsmodell input'!$B$43*Mellomregninger!DZ56))*(1-EXP(-'1a. Spredningsmodell input'!$B$46*Mellomregninger!DZ56))</f>
        <v>#VALUE!</v>
      </c>
      <c r="EJ56" s="297"/>
      <c r="EK56" s="297"/>
      <c r="EL56" s="262">
        <f t="shared" si="31"/>
        <v>1.0000000000000001E+25</v>
      </c>
      <c r="EM56" s="294" t="e">
        <f>($S56+$Q56*($O56+$I56*($D56*(1-Stoff!$P56))*(1-EXP(-($F56+Stoff!$L56*365)*EL56)))*(1-EXP(-($N56+Stoff!$M56*365)*EL56)))</f>
        <v>#VALUE!</v>
      </c>
      <c r="EN56" s="296" t="e">
        <f>($S56+$Q56*($O56+$I56*($D56*(1-Stoff!$P56))*(1-EXP(-($F56+Stoff!$L56*365)*(EL56-'1a. Spredningsmodell input'!$C$35))))*(1-EXP(-($N56+Stoff!$M56*365)*(EL56-'1a. Spredningsmodell input'!$C$35))))</f>
        <v>#VALUE!</v>
      </c>
      <c r="EO56" s="294" t="e">
        <f>IF(EL56&lt;'1a. Spredningsmodell input'!$C$35,EM56-($S56)*EXP(-(Stoff!$N56*365+$U56)*EL56),EM56-EN56)</f>
        <v>#VALUE!</v>
      </c>
      <c r="EP56" s="290" t="e">
        <f>((($D56*(Stoff!$P56))*(1-EXP(-'1a. Spredningsmodell input'!$B$43*EL56)))*(1-EXP(-'1a. Spredningsmodell input'!$B$46*EL56)))</f>
        <v>#VALUE!</v>
      </c>
      <c r="EQ56" s="294" t="e">
        <f>((($D56*(Stoff!$P56))*(1-EXP(-'1a. Spredningsmodell input'!$B$43*(EL56-'1a. Spredningsmodell input'!$C$35))))*(1-EXP(-'1a. Spredningsmodell input'!$B$46*(EL56-'1a. Spredningsmodell input'!$C$35))))</f>
        <v>#VALUE!</v>
      </c>
      <c r="ER56" s="290" t="e">
        <f>IF(EL56&lt;'1a. Spredningsmodell input'!$C$35,0,EP56-EQ56)</f>
        <v>#VALUE!</v>
      </c>
      <c r="ES56" s="297" t="e">
        <f>($S56)*EXP(-(Stoff!$N56*365+$U56)*EL56)+EO56</f>
        <v>#VALUE!</v>
      </c>
      <c r="ET56" s="297" t="e">
        <f>(Stoff!$P56*$S56+ER56)*EXP(-$T56*EL56)</f>
        <v>#VALUE!</v>
      </c>
      <c r="EU56" s="297" t="e">
        <f>(ES56+ET56)*1000000000/('1a. Spredningsmodell input'!$C$36*1000)</f>
        <v>#VALUE!</v>
      </c>
      <c r="EV56" s="262" t="e">
        <f t="shared" si="32"/>
        <v>#VALUE!</v>
      </c>
      <c r="EW56" s="299" t="e">
        <f t="shared" si="33"/>
        <v>#VALUE!</v>
      </c>
      <c r="EX56" s="262" t="e">
        <f t="shared" si="34"/>
        <v>#VALUE!</v>
      </c>
    </row>
    <row r="57" spans="1:154" x14ac:dyDescent="0.35">
      <c r="A57" s="50" t="s">
        <v>153</v>
      </c>
      <c r="B57" s="34" t="str">
        <f>IF(ISNUMBER('1c. Kons. porevann'!E57),1000*'1c. Kons. porevann'!E57,IF(ISNUMBER('1b. Kons. umettet jord'!E57),1000*'1b. Kons. umettet jord'!E57/C57,""))</f>
        <v/>
      </c>
      <c r="C57" s="244">
        <f>IF(Stoff!B57="uorganisk",Stoff!C57,Stoff!D57*'1a. Spredningsmodell input'!$C$11)</f>
        <v>0.63800000000000001</v>
      </c>
      <c r="D57" s="34" t="str">
        <f>IF(ISNUMBER(B57),0.000001*('1b. Kons. umettet jord'!G57*'1a. Spredningsmodell input'!$C$12+B57*0.001*'1a. Spredningsmodell input'!$C$14)*1000*'1a. Spredningsmodell input'!$B$41*'1a. Spredningsmodell input'!$C$18,"")</f>
        <v/>
      </c>
      <c r="E57" s="283">
        <f>C57*'1a. Spredningsmodell input'!$C$12/'1a. Spredningsmodell input'!$C$14+1</f>
        <v>6.423</v>
      </c>
      <c r="F57" s="284">
        <f>'1a. Spredningsmodell input'!$B$43/E57</f>
        <v>0.23353573096683788</v>
      </c>
      <c r="G57" s="34" t="e">
        <f>Stoff!P57*Mellomregninger!D57</f>
        <v>#VALUE!</v>
      </c>
      <c r="H57" s="283" t="e">
        <f>(D57-G57)*(F57/(F57+Stoff!L57))</f>
        <v>#VALUE!</v>
      </c>
      <c r="I57" s="283">
        <f>F57/(F57+Stoff!L57)</f>
        <v>1</v>
      </c>
      <c r="J57" s="285" t="str">
        <f>IF(B57="","",IF(ISNUMBER('1d. Kons. mettet sone'!E57),'1d. Kons. mettet sone'!E57,IF(ISNUMBER('1e. Kons. grunnvann'!E57),'1e. Kons. grunnvann'!E57*Mellomregninger!K57,0)))</f>
        <v/>
      </c>
      <c r="K57" s="286">
        <f>IF(Stoff!B57="uorganisk",Stoff!C57,Stoff!D57*'1a. Spredningsmodell input'!$C$24)</f>
        <v>6.3799999999999996E-2</v>
      </c>
      <c r="L57" s="27" t="e">
        <f>IF(ISNUMBER('1e. Kons. grunnvann'!E57),1000*'1e. Kons. grunnvann'!E57,1000*J57/K57)</f>
        <v>#VALUE!</v>
      </c>
      <c r="M57" s="34">
        <f>K57*'1a. Spredningsmodell input'!$C$25/'1a. Spredningsmodell input'!$C$26+1</f>
        <v>1.27115</v>
      </c>
      <c r="N57" s="284">
        <f>'1a. Spredningsmodell input'!$C$26/M57</f>
        <v>0.31467568736970464</v>
      </c>
      <c r="O57" s="287" t="e">
        <f>0.000000001*(J57*'1a. Spredningsmodell input'!$C$25+L57)*1000*'1a. Spredningsmodell input'!$B$45</f>
        <v>#VALUE!</v>
      </c>
      <c r="P57" s="287" t="e">
        <f>O57*Stoff!P57</f>
        <v>#VALUE!</v>
      </c>
      <c r="Q57" s="287">
        <f>N57/(N57+Stoff!M57)</f>
        <v>1</v>
      </c>
      <c r="R57" s="288">
        <f>IF(ISNUMBER('1f. Kons. resipient'!E57),'1f. Kons. resipient'!E57,0)</f>
        <v>0</v>
      </c>
      <c r="S57" s="288">
        <f>0.000000001*'1a. Spredningsmodell input'!$C$36*R57*1000</f>
        <v>0</v>
      </c>
      <c r="T57" s="288">
        <f>1/'1a. Spredningsmodell input'!$C$35</f>
        <v>1</v>
      </c>
      <c r="U57" s="288">
        <f>1/'1a. Spredningsmodell input'!$C$35</f>
        <v>1</v>
      </c>
      <c r="V57" s="300" t="e">
        <f>(1/($N57+Stoff!$L57))*(LN(($D57*$I57/($D57*$I57+$J57))*($F57+Stoff!$L57+$N57+Stoff!$M57)/($N57+Stoff!$M57)))</f>
        <v>#VALUE!</v>
      </c>
      <c r="W57" s="290" t="e">
        <f>($D57-Stoff!$P57*$D57)*EXP(-($F57+Stoff!$L57*365)*V57)</f>
        <v>#VALUE!</v>
      </c>
      <c r="X57" s="291" t="e">
        <f>(Stoff!$P57*$D57)*EXP(-'1a. Spredningsmodell input'!$B$43*V57)</f>
        <v>#VALUE!</v>
      </c>
      <c r="Y57" s="290" t="e">
        <f>($D57-Stoff!$P57*$D57-W57)*($F57/($F57+Stoff!$L57*365))</f>
        <v>#VALUE!</v>
      </c>
      <c r="Z57" s="290" t="e">
        <f>(Stoff!$P57*$D57)-X57</f>
        <v>#VALUE!</v>
      </c>
      <c r="AA57" s="290" t="e">
        <f>($O57+Y57)*EXP(-($N57+Stoff!$M57*365)*V57)</f>
        <v>#VALUE!</v>
      </c>
      <c r="AB57" s="290" t="e">
        <f>(Stoff!$P57*$O57+Z57)*EXP(-('1a. Spredningsmodell input'!$B$46)*V57)</f>
        <v>#VALUE!</v>
      </c>
      <c r="AC57" s="292" t="e">
        <f>((AA57+AB57)*1000000000)/('1a. Spredningsmodell input'!$B$45*1000)</f>
        <v>#VALUE!</v>
      </c>
      <c r="AD57" s="294" t="e">
        <f>0.001*AC57/('1a. Spredningsmodell input'!$C$25+'1a. Spredningsmodell input'!$C$26/Mellomregninger!$K57)</f>
        <v>#VALUE!</v>
      </c>
      <c r="AE57" s="294" t="e">
        <f>1000*AD57/$K57+AB57*1000000000/('1a. Spredningsmodell input'!$B$45*1000)</f>
        <v>#VALUE!</v>
      </c>
      <c r="AF57" s="294" t="e">
        <f t="shared" si="0"/>
        <v>#VALUE!</v>
      </c>
      <c r="AG57" s="294" t="e">
        <f>AB57*1000000000/('1a. Spredningsmodell input'!$B$45*1000)</f>
        <v>#VALUE!</v>
      </c>
      <c r="AH57" s="300" t="e">
        <f>(1/('1a. Spredningsmodell input'!$B$46))*(LN(($D57*Stoff!$P57/($D57*Stoff!$P57+$P57*Stoff!$P57))*('1a. Spredningsmodell input'!$B$43+'1a. Spredningsmodell input'!$B$46)/('1a. Spredningsmodell input'!$B$46)))</f>
        <v>#VALUE!</v>
      </c>
      <c r="AI57" s="290" t="e">
        <f>($D57-Stoff!$P57*$D57)*EXP(-($F57+Stoff!$L57*365)*AH57)</f>
        <v>#VALUE!</v>
      </c>
      <c r="AJ57" s="291" t="e">
        <f>(Stoff!$P57*$D57)*EXP(-'1a. Spredningsmodell input'!$B$43*AH57)</f>
        <v>#VALUE!</v>
      </c>
      <c r="AK57" s="290" t="e">
        <f>($D57-Stoff!$P57*$D57-AI57)*($F57/($F57+Stoff!$L57*365))</f>
        <v>#VALUE!</v>
      </c>
      <c r="AL57" s="290" t="e">
        <f>(Stoff!$P57*$D57)-AJ57</f>
        <v>#VALUE!</v>
      </c>
      <c r="AM57" s="290" t="e">
        <f>($O57+AK57)*EXP(-($N57+Stoff!$M57*365)*AH57)</f>
        <v>#VALUE!</v>
      </c>
      <c r="AN57" s="290" t="e">
        <f>(Stoff!$P57*$O57+AL57)*EXP(-('1a. Spredningsmodell input'!$B$46)*AH57)</f>
        <v>#VALUE!</v>
      </c>
      <c r="AO57" s="292" t="e">
        <f>((AM57+AN57)*1000000000)/('1a. Spredningsmodell input'!$B$45*1000)</f>
        <v>#VALUE!</v>
      </c>
      <c r="AP57" s="294" t="e">
        <f>0.001*AO57/('1a. Spredningsmodell input'!$C$25+'1a. Spredningsmodell input'!$C$26/Mellomregninger!$K57)</f>
        <v>#VALUE!</v>
      </c>
      <c r="AQ57" s="294" t="e">
        <f>1000*AP57/$K57+AN57*1000000000/('1a. Spredningsmodell input'!$B$45*1000)</f>
        <v>#VALUE!</v>
      </c>
      <c r="AR57" s="294" t="e">
        <f t="shared" si="1"/>
        <v>#VALUE!</v>
      </c>
      <c r="AS57" s="294" t="e">
        <f>AN57*1000000000/('1a. Spredningsmodell input'!$B$45*1000)</f>
        <v>#VALUE!</v>
      </c>
      <c r="AT57" s="295">
        <f t="shared" si="25"/>
        <v>5</v>
      </c>
      <c r="AU57" s="290" t="e">
        <f>($D57-Stoff!$P57*$D57)*EXP(-($F57+Stoff!$L57*365)*AT57)</f>
        <v>#VALUE!</v>
      </c>
      <c r="AV57" s="291" t="e">
        <f>(Stoff!$P57*$D57)*EXP(-'1a. Spredningsmodell input'!$B$43*AT57)</f>
        <v>#VALUE!</v>
      </c>
      <c r="AW57" s="290" t="e">
        <f>($D57-Stoff!$P57*$D57-AU57)*($F57/($F57+Stoff!$L57*365))</f>
        <v>#VALUE!</v>
      </c>
      <c r="AX57" s="290" t="e">
        <f>(Stoff!$P57*$D57)-AV57</f>
        <v>#VALUE!</v>
      </c>
      <c r="AY57" s="290" t="e">
        <f>($O57+AW57)*EXP(-($N57+Stoff!$M57*365)*AT57)</f>
        <v>#VALUE!</v>
      </c>
      <c r="AZ57" s="290" t="e">
        <f>(Stoff!$P57*$O57+AX57)*EXP(-('1a. Spredningsmodell input'!$B$46)*AT57)</f>
        <v>#VALUE!</v>
      </c>
      <c r="BA57" s="292" t="e">
        <f>((AY57+AZ57)*1000000000)/('1a. Spredningsmodell input'!$B$45*1000)</f>
        <v>#VALUE!</v>
      </c>
      <c r="BB57" s="294" t="e">
        <f>0.001*BA57/('1a. Spredningsmodell input'!$C$25+'1a. Spredningsmodell input'!$C$26/Mellomregninger!$K57)</f>
        <v>#VALUE!</v>
      </c>
      <c r="BC57" s="294" t="e">
        <f>1000*BB57/$K57+AZ57*1000000000/('1a. Spredningsmodell input'!$B$45*1000)</f>
        <v>#VALUE!</v>
      </c>
      <c r="BD57" s="294" t="e">
        <f t="shared" si="2"/>
        <v>#VALUE!</v>
      </c>
      <c r="BE57" s="294" t="e">
        <f>AZ57*1000000000/('1a. Spredningsmodell input'!$B$45*1000)</f>
        <v>#VALUE!</v>
      </c>
      <c r="BF57" s="295">
        <f t="shared" si="26"/>
        <v>20</v>
      </c>
      <c r="BG57" s="290" t="e">
        <f>($D57-Stoff!$P57*$D57)*EXP(-($F57+Stoff!$L57*365)*BF57)</f>
        <v>#VALUE!</v>
      </c>
      <c r="BH57" s="291" t="e">
        <f>(Stoff!$P57*$D57)*EXP(-'1a. Spredningsmodell input'!$B$43*BF57)</f>
        <v>#VALUE!</v>
      </c>
      <c r="BI57" s="290" t="e">
        <f>($D57-Stoff!$P57*$D57-BG57)*($F57/($F57+Stoff!$L57*365))</f>
        <v>#VALUE!</v>
      </c>
      <c r="BJ57" s="290" t="e">
        <f>(Stoff!$P57*$D57)-BH57</f>
        <v>#VALUE!</v>
      </c>
      <c r="BK57" s="290" t="e">
        <f>($O57+BI57)*EXP(-($N57+Stoff!$M57*365)*BF57)</f>
        <v>#VALUE!</v>
      </c>
      <c r="BL57" s="290" t="e">
        <f>(Stoff!$P57*$O57+BJ57)*EXP(-('1a. Spredningsmodell input'!$B$46)*BF57)</f>
        <v>#VALUE!</v>
      </c>
      <c r="BM57" s="292" t="e">
        <f>((BK57+BL57)*1000000000)/('1a. Spredningsmodell input'!$B$45*1000)</f>
        <v>#VALUE!</v>
      </c>
      <c r="BN57" s="294" t="e">
        <f>0.001*BM57/('1a. Spredningsmodell input'!$C$25+'1a. Spredningsmodell input'!$C$26/Mellomregninger!$K57)</f>
        <v>#VALUE!</v>
      </c>
      <c r="BO57" s="294" t="e">
        <f>1000*BN57/$K57+BL57*1000000000/('1a. Spredningsmodell input'!$B$45*1000)</f>
        <v>#VALUE!</v>
      </c>
      <c r="BP57" s="294" t="e">
        <f t="shared" si="3"/>
        <v>#VALUE!</v>
      </c>
      <c r="BQ57" s="294" t="e">
        <f>BL57*1000000000/('1a. Spredningsmodell input'!$B$45*1000)</f>
        <v>#VALUE!</v>
      </c>
      <c r="BR57" s="295">
        <f t="shared" si="27"/>
        <v>100</v>
      </c>
      <c r="BS57" s="290" t="e">
        <f>($D57-Stoff!$P57*$D57)*EXP(-($F57+Stoff!$L57*365)*BR57)</f>
        <v>#VALUE!</v>
      </c>
      <c r="BT57" s="291" t="e">
        <f>(Stoff!$P57*$D57)*EXP(-'1a. Spredningsmodell input'!$B$43*BR57)</f>
        <v>#VALUE!</v>
      </c>
      <c r="BU57" s="290" t="e">
        <f>($D57-Stoff!$P57*$D57-BS57)*($F57/($F57+Stoff!$L57*365))</f>
        <v>#VALUE!</v>
      </c>
      <c r="BV57" s="290" t="e">
        <f>(Stoff!$P57*$D57)-BT57</f>
        <v>#VALUE!</v>
      </c>
      <c r="BW57" s="290" t="e">
        <f>($O57+BU57)*EXP(-($N57+Stoff!$M57*365)*BR57)</f>
        <v>#VALUE!</v>
      </c>
      <c r="BX57" s="290" t="e">
        <f>(Stoff!$P57*$O57+BV57)*EXP(-('1a. Spredningsmodell input'!$B$46)*BR57)</f>
        <v>#VALUE!</v>
      </c>
      <c r="BY57" s="292" t="e">
        <f>((BW57+BX57)*1000000000)/('1a. Spredningsmodell input'!$B$45*1000)</f>
        <v>#VALUE!</v>
      </c>
      <c r="BZ57" s="294" t="e">
        <f>0.001*BY57/('1a. Spredningsmodell input'!$C$25+'1a. Spredningsmodell input'!$C$26/Mellomregninger!$K57)</f>
        <v>#VALUE!</v>
      </c>
      <c r="CA57" s="294" t="e">
        <f>1000*BZ57/$K57+BX57*1000000000/('1a. Spredningsmodell input'!$B$45*1000)</f>
        <v>#VALUE!</v>
      </c>
      <c r="CB57" s="294" t="e">
        <f t="shared" si="4"/>
        <v>#VALUE!</v>
      </c>
      <c r="CC57" s="294" t="e">
        <f>BX57*1000000000/('1a. Spredningsmodell input'!$B$45*1000)</f>
        <v>#VALUE!</v>
      </c>
      <c r="CD57" s="294" t="e">
        <f>V57+'1a. Spredningsmodell input'!$C$35</f>
        <v>#VALUE!</v>
      </c>
      <c r="CE57" s="294" t="e">
        <f>($S57+$Q57*($O57+$I57*($D57*(1-Stoff!$P57))*(1-EXP(-($F57+Stoff!$L57*365)*CD57)))*(1-EXP(-($N57+Stoff!$M57*365)*CD57)))</f>
        <v>#VALUE!</v>
      </c>
      <c r="CF57" s="294" t="e">
        <f t="shared" si="5"/>
        <v>#VALUE!</v>
      </c>
      <c r="CG57" s="296" t="e">
        <f>(CF57/1000000)*'1a. Spredningsmodell input'!$B$49*'1a. Spredningsmodell input'!$C$35</f>
        <v>#VALUE!</v>
      </c>
      <c r="CH57" s="294" t="e">
        <f t="shared" si="17"/>
        <v>#VALUE!</v>
      </c>
      <c r="CI57" s="290" t="e">
        <f>(CH57/1000000)*'1a. Spredningsmodell input'!$B$49*'1a. Spredningsmodell input'!$C$35</f>
        <v>#VALUE!</v>
      </c>
      <c r="CJ57" s="297" t="e">
        <f>($S57)*EXP(-(Stoff!$N57*365+$U57)*CD57)+CG57</f>
        <v>#VALUE!</v>
      </c>
      <c r="CK57" s="297" t="e">
        <f>(Stoff!$P57*$S57+CI57)*EXP(-$T57*CD57)</f>
        <v>#VALUE!</v>
      </c>
      <c r="CL57" s="297" t="e">
        <f>(CJ57+CK57)*1000000000/('1a. Spredningsmodell input'!$C$36*1000)</f>
        <v>#VALUE!</v>
      </c>
      <c r="CM57" s="297" t="e">
        <f>$G57*(1-EXP(-'1a. Spredningsmodell input'!$B$43*Mellomregninger!CD57))*(1-EXP(-'1a. Spredningsmodell input'!$B$46*Mellomregninger!CD57))</f>
        <v>#VALUE!</v>
      </c>
      <c r="CN57" s="297"/>
      <c r="CO57" s="297"/>
      <c r="CP57" s="290">
        <f>IF(ISNUMBER(AH57),AH57+'1a. Spredningsmodell input'!$C$35,'1a. Spredningsmodell input'!$C$35)</f>
        <v>1</v>
      </c>
      <c r="CQ57" s="294" t="e">
        <f>($S57+$Q57*($O57+$I57*($D57*(1-Stoff!$P57))*(1-EXP(-($F57+Stoff!$L57*365)*CP57)))*(1-EXP(-($N57+Stoff!$M57*365)*CP57)))</f>
        <v>#VALUE!</v>
      </c>
      <c r="CR57" s="294" t="e">
        <f t="shared" si="6"/>
        <v>#VALUE!</v>
      </c>
      <c r="CS57" s="296" t="e">
        <f>(CR57/1000000)*('1a. Spredningsmodell input'!$B$49*'1a. Spredningsmodell input'!$C$35)</f>
        <v>#VALUE!</v>
      </c>
      <c r="CT57" s="294" t="e">
        <f t="shared" si="7"/>
        <v>#VALUE!</v>
      </c>
      <c r="CU57" s="290" t="e">
        <f>(CT57/1000000)*('1a. Spredningsmodell input'!$B$49)*'1a. Spredningsmodell input'!$C$35</f>
        <v>#VALUE!</v>
      </c>
      <c r="CV57" s="297" t="e">
        <f>($S57)*EXP(-(Stoff!$N57*365+$U57)*CP57)+CS57</f>
        <v>#VALUE!</v>
      </c>
      <c r="CW57" s="297" t="e">
        <f>(Stoff!$P57*$S57+CU57)*EXP(-$T57*CP57)</f>
        <v>#VALUE!</v>
      </c>
      <c r="CX57" s="297">
        <f>IF(ISERROR(CV57),0,(CV57+CW57)*1000000000/('1a. Spredningsmodell input'!$C$36*1000))</f>
        <v>0</v>
      </c>
      <c r="CY57" s="297" t="e">
        <f>$G57*(1-EXP(-'1a. Spredningsmodell input'!$B$43*Mellomregninger!CP57))*(1-EXP(-'1a. Spredningsmodell input'!$B$46*Mellomregninger!CP57))</f>
        <v>#VALUE!</v>
      </c>
      <c r="CZ57" s="297"/>
      <c r="DA57" s="297"/>
      <c r="DB57" s="262">
        <f t="shared" si="28"/>
        <v>5</v>
      </c>
      <c r="DC57" s="298" t="e">
        <f>($S57+$Q57*($O57+$I57*($D57*(1-Stoff!$P57))*(1-EXP(-($F57+Stoff!$L57*365)*DB57)))*(1-EXP(-($N57+Stoff!$M57*365)*DB57)))</f>
        <v>#VALUE!</v>
      </c>
      <c r="DD57" s="294" t="e">
        <f t="shared" si="8"/>
        <v>#VALUE!</v>
      </c>
      <c r="DE57" s="296" t="e">
        <f>(DD57/1000000)*('1a. Spredningsmodell input'!$B$49)*'1a. Spredningsmodell input'!$C$35</f>
        <v>#VALUE!</v>
      </c>
      <c r="DF57" s="294" t="e">
        <f t="shared" si="19"/>
        <v>#VALUE!</v>
      </c>
      <c r="DG57" s="290" t="e">
        <f>(DF57/1000000)*('1a. Spredningsmodell input'!$B$49)*'1a. Spredningsmodell input'!$C$35</f>
        <v>#VALUE!</v>
      </c>
      <c r="DH57" s="297" t="e">
        <f>($S57)*EXP(-(Stoff!$N57*365+$U57)*DB57)+DE57</f>
        <v>#VALUE!</v>
      </c>
      <c r="DI57" s="297" t="e">
        <f>(Stoff!$P57*$S57+DG57)*EXP(-$T57*DB57)</f>
        <v>#VALUE!</v>
      </c>
      <c r="DJ57" s="297" t="e">
        <f>(DH57+DI57)*1000000000/('1a. Spredningsmodell input'!$C$36*1000)</f>
        <v>#VALUE!</v>
      </c>
      <c r="DK57" s="297" t="e">
        <f>$G57*(1-EXP(-'1a. Spredningsmodell input'!$B$43*Mellomregninger!DB57))*(1-EXP(-'1a. Spredningsmodell input'!$B$46*Mellomregninger!DB57))</f>
        <v>#VALUE!</v>
      </c>
      <c r="DL57" s="297"/>
      <c r="DM57" s="297"/>
      <c r="DN57" s="262">
        <f t="shared" si="29"/>
        <v>20</v>
      </c>
      <c r="DO57" s="298" t="e">
        <f>($S57+$Q57*($O57+$I57*($D57*(1-Stoff!$P57))*(1-EXP(-($F57+Stoff!$L57*365)*DN57)))*(1-EXP(-($N57+Stoff!$M57*365)*DN57)))</f>
        <v>#VALUE!</v>
      </c>
      <c r="DP57" s="294" t="e">
        <f t="shared" si="21"/>
        <v>#VALUE!</v>
      </c>
      <c r="DQ57" s="296" t="e">
        <f>(DP57/1000000)*('1a. Spredningsmodell input'!$B$49)*'1a. Spredningsmodell input'!$C$35</f>
        <v>#VALUE!</v>
      </c>
      <c r="DR57" s="294" t="e">
        <f t="shared" si="9"/>
        <v>#VALUE!</v>
      </c>
      <c r="DS57" s="290" t="e">
        <f>(DR57/1000000)*('1a. Spredningsmodell input'!$B$49)*'1a. Spredningsmodell input'!$C$35</f>
        <v>#VALUE!</v>
      </c>
      <c r="DT57" s="297" t="e">
        <f>($S57)*EXP(-(Stoff!$N57*365+$U57)*DN57)+DQ57</f>
        <v>#VALUE!</v>
      </c>
      <c r="DU57" s="297" t="e">
        <f>(Stoff!$P57*$S57+DS57)*EXP(-$T57*DN57)</f>
        <v>#VALUE!</v>
      </c>
      <c r="DV57" s="297" t="e">
        <f>(DT57+DU57)*1000000000/('1a. Spredningsmodell input'!$C$36*1000)</f>
        <v>#VALUE!</v>
      </c>
      <c r="DW57" s="297" t="e">
        <f>$G57*(1-EXP(-'1a. Spredningsmodell input'!$B$43*Mellomregninger!DN57))*(1-EXP(-'1a. Spredningsmodell input'!$B$46*Mellomregninger!DN57))</f>
        <v>#VALUE!</v>
      </c>
      <c r="DX57" s="297"/>
      <c r="DY57" s="297"/>
      <c r="DZ57" s="262">
        <f t="shared" si="30"/>
        <v>100</v>
      </c>
      <c r="EA57" s="298" t="e">
        <f>($S57+$Q57*($O57+$I57*($D57*(1-Stoff!$P57))*(1-EXP(-($F57+Stoff!$L57*365)*DZ57)))*(1-EXP(-($N57+Stoff!$M57*365)*DZ57)))</f>
        <v>#VALUE!</v>
      </c>
      <c r="EB57" s="294" t="e">
        <f t="shared" si="10"/>
        <v>#VALUE!</v>
      </c>
      <c r="EC57" s="296" t="e">
        <f>(EB57/1000000)*('1a. Spredningsmodell input'!$B$49)*'1a. Spredningsmodell input'!$C$35</f>
        <v>#VALUE!</v>
      </c>
      <c r="ED57" s="294" t="e">
        <f t="shared" si="11"/>
        <v>#VALUE!</v>
      </c>
      <c r="EE57" s="290" t="e">
        <f>(ED57/1000000)*('1a. Spredningsmodell input'!$B$49)*'1a. Spredningsmodell input'!$C$35</f>
        <v>#VALUE!</v>
      </c>
      <c r="EF57" s="297" t="e">
        <f>($S57)*EXP(-(Stoff!$N57*365+$U57)*DZ57)+EC57</f>
        <v>#VALUE!</v>
      </c>
      <c r="EG57" s="297" t="e">
        <f>(Stoff!$P57*$S57+EE57)*EXP(-$T57*DZ57)</f>
        <v>#VALUE!</v>
      </c>
      <c r="EH57" s="297" t="e">
        <f>(EF57+EG57)*1000000000/('1a. Spredningsmodell input'!$C$36*1000)</f>
        <v>#VALUE!</v>
      </c>
      <c r="EI57" s="297" t="e">
        <f>$G57*(1-EXP(-'1a. Spredningsmodell input'!$B$43*Mellomregninger!DZ57))*(1-EXP(-'1a. Spredningsmodell input'!$B$46*Mellomregninger!DZ57))</f>
        <v>#VALUE!</v>
      </c>
      <c r="EJ57" s="297"/>
      <c r="EK57" s="297"/>
      <c r="EL57" s="262">
        <f t="shared" si="31"/>
        <v>1.0000000000000001E+25</v>
      </c>
      <c r="EM57" s="294" t="e">
        <f>($S57+$Q57*($O57+$I57*($D57*(1-Stoff!$P57))*(1-EXP(-($F57+Stoff!$L57*365)*EL57)))*(1-EXP(-($N57+Stoff!$M57*365)*EL57)))</f>
        <v>#VALUE!</v>
      </c>
      <c r="EN57" s="296" t="e">
        <f>($S57+$Q57*($O57+$I57*($D57*(1-Stoff!$P57))*(1-EXP(-($F57+Stoff!$L57*365)*(EL57-'1a. Spredningsmodell input'!$C$35))))*(1-EXP(-($N57+Stoff!$M57*365)*(EL57-'1a. Spredningsmodell input'!$C$35))))</f>
        <v>#VALUE!</v>
      </c>
      <c r="EO57" s="294" t="e">
        <f>IF(EL57&lt;'1a. Spredningsmodell input'!$C$35,EM57-($S57)*EXP(-(Stoff!$N57*365+$U57)*EL57),EM57-EN57)</f>
        <v>#VALUE!</v>
      </c>
      <c r="EP57" s="290" t="e">
        <f>((($D57*(Stoff!$P57))*(1-EXP(-'1a. Spredningsmodell input'!$B$43*EL57)))*(1-EXP(-'1a. Spredningsmodell input'!$B$46*EL57)))</f>
        <v>#VALUE!</v>
      </c>
      <c r="EQ57" s="294" t="e">
        <f>((($D57*(Stoff!$P57))*(1-EXP(-'1a. Spredningsmodell input'!$B$43*(EL57-'1a. Spredningsmodell input'!$C$35))))*(1-EXP(-'1a. Spredningsmodell input'!$B$46*(EL57-'1a. Spredningsmodell input'!$C$35))))</f>
        <v>#VALUE!</v>
      </c>
      <c r="ER57" s="290" t="e">
        <f>IF(EL57&lt;'1a. Spredningsmodell input'!$C$35,0,EP57-EQ57)</f>
        <v>#VALUE!</v>
      </c>
      <c r="ES57" s="297" t="e">
        <f>($S57)*EXP(-(Stoff!$N57*365+$U57)*EL57)+EO57</f>
        <v>#VALUE!</v>
      </c>
      <c r="ET57" s="297" t="e">
        <f>(Stoff!$P57*$S57+ER57)*EXP(-$T57*EL57)</f>
        <v>#VALUE!</v>
      </c>
      <c r="EU57" s="297" t="e">
        <f>(ES57+ET57)*1000000000/('1a. Spredningsmodell input'!$C$36*1000)</f>
        <v>#VALUE!</v>
      </c>
      <c r="EV57" s="262" t="e">
        <f t="shared" si="32"/>
        <v>#VALUE!</v>
      </c>
      <c r="EW57" s="299" t="e">
        <f t="shared" si="33"/>
        <v>#VALUE!</v>
      </c>
      <c r="EX57" s="262" t="e">
        <f t="shared" si="34"/>
        <v>#VALUE!</v>
      </c>
    </row>
    <row r="58" spans="1:154" x14ac:dyDescent="0.35">
      <c r="A58" s="50" t="s">
        <v>152</v>
      </c>
      <c r="B58" s="34" t="str">
        <f>IF(ISNUMBER('1c. Kons. porevann'!E58),1000*'1c. Kons. porevann'!E58,IF(ISNUMBER('1b. Kons. umettet jord'!E58),1000*'1b. Kons. umettet jord'!E58/C58,""))</f>
        <v/>
      </c>
      <c r="C58" s="244">
        <f>IF(Stoff!B58="uorganisk",Stoff!C58,Stoff!D58*'1a. Spredningsmodell input'!$C$11)</f>
        <v>2.5</v>
      </c>
      <c r="D58" s="34" t="str">
        <f>IF(ISNUMBER(B58),0.000001*('1b. Kons. umettet jord'!G58*'1a. Spredningsmodell input'!$C$12+B58*0.001*'1a. Spredningsmodell input'!$C$14)*1000*'1a. Spredningsmodell input'!$B$41*'1a. Spredningsmodell input'!$C$18,"")</f>
        <v/>
      </c>
      <c r="E58" s="283">
        <f>C58*'1a. Spredningsmodell input'!$C$12/'1a. Spredningsmodell input'!$C$14+1</f>
        <v>22.25</v>
      </c>
      <c r="F58" s="284">
        <f>'1a. Spredningsmodell input'!$B$43/E58</f>
        <v>6.7415730337078636E-2</v>
      </c>
      <c r="G58" s="34" t="e">
        <f>Stoff!P58*Mellomregninger!D58</f>
        <v>#VALUE!</v>
      </c>
      <c r="H58" s="283" t="e">
        <f>(D58-G58)*(F58/(F58+Stoff!L58))</f>
        <v>#VALUE!</v>
      </c>
      <c r="I58" s="283">
        <f>F58/(F58+Stoff!L58)</f>
        <v>1</v>
      </c>
      <c r="J58" s="285" t="str">
        <f>IF(B58="","",IF(ISNUMBER('1d. Kons. mettet sone'!E58),'1d. Kons. mettet sone'!E58,IF(ISNUMBER('1e. Kons. grunnvann'!E58),'1e. Kons. grunnvann'!E58*Mellomregninger!K58,0)))</f>
        <v/>
      </c>
      <c r="K58" s="286">
        <f>IF(Stoff!B58="uorganisk",Stoff!C58,Stoff!D58*'1a. Spredningsmodell input'!$C$24)</f>
        <v>0.25</v>
      </c>
      <c r="L58" s="27" t="e">
        <f>IF(ISNUMBER('1e. Kons. grunnvann'!E58),1000*'1e. Kons. grunnvann'!E58,1000*J58/K58)</f>
        <v>#VALUE!</v>
      </c>
      <c r="M58" s="34">
        <f>K58*'1a. Spredningsmodell input'!$C$25/'1a. Spredningsmodell input'!$C$26+1</f>
        <v>2.0625</v>
      </c>
      <c r="N58" s="284">
        <f>'1a. Spredningsmodell input'!$C$26/M58</f>
        <v>0.19393939393939394</v>
      </c>
      <c r="O58" s="287" t="e">
        <f>0.000000001*(J58*'1a. Spredningsmodell input'!$C$25+L58)*1000*'1a. Spredningsmodell input'!$B$45</f>
        <v>#VALUE!</v>
      </c>
      <c r="P58" s="287" t="e">
        <f>O58*Stoff!P58</f>
        <v>#VALUE!</v>
      </c>
      <c r="Q58" s="287">
        <f>N58/(N58+Stoff!M58)</f>
        <v>1</v>
      </c>
      <c r="R58" s="288">
        <f>IF(ISNUMBER('1f. Kons. resipient'!E58),'1f. Kons. resipient'!E58,0)</f>
        <v>0</v>
      </c>
      <c r="S58" s="288">
        <f>0.000000001*'1a. Spredningsmodell input'!$C$36*R58*1000</f>
        <v>0</v>
      </c>
      <c r="T58" s="288">
        <f>1/'1a. Spredningsmodell input'!$C$35</f>
        <v>1</v>
      </c>
      <c r="U58" s="288">
        <f>1/'1a. Spredningsmodell input'!$C$35</f>
        <v>1</v>
      </c>
      <c r="V58" s="300" t="e">
        <f>(1/($N58+Stoff!$L58))*(LN(($D58*$I58/($D58*$I58+$J58))*($F58+Stoff!$L58+$N58+Stoff!$M58)/($N58+Stoff!$M58)))</f>
        <v>#VALUE!</v>
      </c>
      <c r="W58" s="290" t="e">
        <f>($D58-Stoff!$P58*$D58)*EXP(-($F58+Stoff!$L58*365)*V58)</f>
        <v>#VALUE!</v>
      </c>
      <c r="X58" s="291" t="e">
        <f>(Stoff!$P58*$D58)*EXP(-'1a. Spredningsmodell input'!$B$43*V58)</f>
        <v>#VALUE!</v>
      </c>
      <c r="Y58" s="290" t="e">
        <f>($D58-Stoff!$P58*$D58-W58)*($F58/($F58+Stoff!$L58*365))</f>
        <v>#VALUE!</v>
      </c>
      <c r="Z58" s="290" t="e">
        <f>(Stoff!$P58*$D58)-X58</f>
        <v>#VALUE!</v>
      </c>
      <c r="AA58" s="290" t="e">
        <f>($O58+Y58)*EXP(-($N58+Stoff!$M58*365)*V58)</f>
        <v>#VALUE!</v>
      </c>
      <c r="AB58" s="290" t="e">
        <f>(Stoff!$P58*$O58+Z58)*EXP(-('1a. Spredningsmodell input'!$B$46)*V58)</f>
        <v>#VALUE!</v>
      </c>
      <c r="AC58" s="292" t="e">
        <f>((AA58+AB58)*1000000000)/('1a. Spredningsmodell input'!$B$45*1000)</f>
        <v>#VALUE!</v>
      </c>
      <c r="AD58" s="294" t="e">
        <f>0.001*AC58/('1a. Spredningsmodell input'!$C$25+'1a. Spredningsmodell input'!$C$26/Mellomregninger!$K58)</f>
        <v>#VALUE!</v>
      </c>
      <c r="AE58" s="294" t="e">
        <f>1000*AD58/$K58+AB58*1000000000/('1a. Spredningsmodell input'!$B$45*1000)</f>
        <v>#VALUE!</v>
      </c>
      <c r="AF58" s="294" t="e">
        <f t="shared" si="0"/>
        <v>#VALUE!</v>
      </c>
      <c r="AG58" s="294" t="e">
        <f>AB58*1000000000/('1a. Spredningsmodell input'!$B$45*1000)</f>
        <v>#VALUE!</v>
      </c>
      <c r="AH58" s="300" t="e">
        <f>(1/('1a. Spredningsmodell input'!$B$46))*(LN(($D58*Stoff!$P58/($D58*Stoff!$P58+$P58*Stoff!$P58))*('1a. Spredningsmodell input'!$B$43+'1a. Spredningsmodell input'!$B$46)/('1a. Spredningsmodell input'!$B$46)))</f>
        <v>#VALUE!</v>
      </c>
      <c r="AI58" s="290" t="e">
        <f>($D58-Stoff!$P58*$D58)*EXP(-($F58+Stoff!$L58*365)*AH58)</f>
        <v>#VALUE!</v>
      </c>
      <c r="AJ58" s="291" t="e">
        <f>(Stoff!$P58*$D58)*EXP(-'1a. Spredningsmodell input'!$B$43*AH58)</f>
        <v>#VALUE!</v>
      </c>
      <c r="AK58" s="290" t="e">
        <f>($D58-Stoff!$P58*$D58-AI58)*($F58/($F58+Stoff!$L58*365))</f>
        <v>#VALUE!</v>
      </c>
      <c r="AL58" s="290" t="e">
        <f>(Stoff!$P58*$D58)-AJ58</f>
        <v>#VALUE!</v>
      </c>
      <c r="AM58" s="290" t="e">
        <f>($O58+AK58)*EXP(-($N58+Stoff!$M58*365)*AH58)</f>
        <v>#VALUE!</v>
      </c>
      <c r="AN58" s="290" t="e">
        <f>(Stoff!$P58*$O58+AL58)*EXP(-('1a. Spredningsmodell input'!$B$46)*AH58)</f>
        <v>#VALUE!</v>
      </c>
      <c r="AO58" s="292" t="e">
        <f>((AM58+AN58)*1000000000)/('1a. Spredningsmodell input'!$B$45*1000)</f>
        <v>#VALUE!</v>
      </c>
      <c r="AP58" s="294" t="e">
        <f>0.001*AO58/('1a. Spredningsmodell input'!$C$25+'1a. Spredningsmodell input'!$C$26/Mellomregninger!$K58)</f>
        <v>#VALUE!</v>
      </c>
      <c r="AQ58" s="294" t="e">
        <f>1000*AP58/$K58+AN58*1000000000/('1a. Spredningsmodell input'!$B$45*1000)</f>
        <v>#VALUE!</v>
      </c>
      <c r="AR58" s="294" t="e">
        <f t="shared" si="1"/>
        <v>#VALUE!</v>
      </c>
      <c r="AS58" s="294" t="e">
        <f>AN58*1000000000/('1a. Spredningsmodell input'!$B$45*1000)</f>
        <v>#VALUE!</v>
      </c>
      <c r="AT58" s="295">
        <f t="shared" si="25"/>
        <v>5</v>
      </c>
      <c r="AU58" s="290" t="e">
        <f>($D58-Stoff!$P58*$D58)*EXP(-($F58+Stoff!$L58*365)*AT58)</f>
        <v>#VALUE!</v>
      </c>
      <c r="AV58" s="291" t="e">
        <f>(Stoff!$P58*$D58)*EXP(-'1a. Spredningsmodell input'!$B$43*AT58)</f>
        <v>#VALUE!</v>
      </c>
      <c r="AW58" s="290" t="e">
        <f>($D58-Stoff!$P58*$D58-AU58)*($F58/($F58+Stoff!$L58*365))</f>
        <v>#VALUE!</v>
      </c>
      <c r="AX58" s="290" t="e">
        <f>(Stoff!$P58*$D58)-AV58</f>
        <v>#VALUE!</v>
      </c>
      <c r="AY58" s="290" t="e">
        <f>($O58+AW58)*EXP(-($N58+Stoff!$M58*365)*AT58)</f>
        <v>#VALUE!</v>
      </c>
      <c r="AZ58" s="290" t="e">
        <f>(Stoff!$P58*$O58+AX58)*EXP(-('1a. Spredningsmodell input'!$B$46)*AT58)</f>
        <v>#VALUE!</v>
      </c>
      <c r="BA58" s="292" t="e">
        <f>((AY58+AZ58)*1000000000)/('1a. Spredningsmodell input'!$B$45*1000)</f>
        <v>#VALUE!</v>
      </c>
      <c r="BB58" s="294" t="e">
        <f>0.001*BA58/('1a. Spredningsmodell input'!$C$25+'1a. Spredningsmodell input'!$C$26/Mellomregninger!$K58)</f>
        <v>#VALUE!</v>
      </c>
      <c r="BC58" s="294" t="e">
        <f>1000*BB58/$K58+AZ58*1000000000/('1a. Spredningsmodell input'!$B$45*1000)</f>
        <v>#VALUE!</v>
      </c>
      <c r="BD58" s="294" t="e">
        <f t="shared" si="2"/>
        <v>#VALUE!</v>
      </c>
      <c r="BE58" s="294" t="e">
        <f>AZ58*1000000000/('1a. Spredningsmodell input'!$B$45*1000)</f>
        <v>#VALUE!</v>
      </c>
      <c r="BF58" s="295">
        <f t="shared" si="26"/>
        <v>20</v>
      </c>
      <c r="BG58" s="290" t="e">
        <f>($D58-Stoff!$P58*$D58)*EXP(-($F58+Stoff!$L58*365)*BF58)</f>
        <v>#VALUE!</v>
      </c>
      <c r="BH58" s="291" t="e">
        <f>(Stoff!$P58*$D58)*EXP(-'1a. Spredningsmodell input'!$B$43*BF58)</f>
        <v>#VALUE!</v>
      </c>
      <c r="BI58" s="290" t="e">
        <f>($D58-Stoff!$P58*$D58-BG58)*($F58/($F58+Stoff!$L58*365))</f>
        <v>#VALUE!</v>
      </c>
      <c r="BJ58" s="290" t="e">
        <f>(Stoff!$P58*$D58)-BH58</f>
        <v>#VALUE!</v>
      </c>
      <c r="BK58" s="290" t="e">
        <f>($O58+BI58)*EXP(-($N58+Stoff!$M58*365)*BF58)</f>
        <v>#VALUE!</v>
      </c>
      <c r="BL58" s="290" t="e">
        <f>(Stoff!$P58*$O58+BJ58)*EXP(-('1a. Spredningsmodell input'!$B$46)*BF58)</f>
        <v>#VALUE!</v>
      </c>
      <c r="BM58" s="292" t="e">
        <f>((BK58+BL58)*1000000000)/('1a. Spredningsmodell input'!$B$45*1000)</f>
        <v>#VALUE!</v>
      </c>
      <c r="BN58" s="294" t="e">
        <f>0.001*BM58/('1a. Spredningsmodell input'!$C$25+'1a. Spredningsmodell input'!$C$26/Mellomregninger!$K58)</f>
        <v>#VALUE!</v>
      </c>
      <c r="BO58" s="294" t="e">
        <f>1000*BN58/$K58+BL58*1000000000/('1a. Spredningsmodell input'!$B$45*1000)</f>
        <v>#VALUE!</v>
      </c>
      <c r="BP58" s="294" t="e">
        <f t="shared" si="3"/>
        <v>#VALUE!</v>
      </c>
      <c r="BQ58" s="294" t="e">
        <f>BL58*1000000000/('1a. Spredningsmodell input'!$B$45*1000)</f>
        <v>#VALUE!</v>
      </c>
      <c r="BR58" s="295">
        <f t="shared" si="27"/>
        <v>100</v>
      </c>
      <c r="BS58" s="290" t="e">
        <f>($D58-Stoff!$P58*$D58)*EXP(-($F58+Stoff!$L58*365)*BR58)</f>
        <v>#VALUE!</v>
      </c>
      <c r="BT58" s="291" t="e">
        <f>(Stoff!$P58*$D58)*EXP(-'1a. Spredningsmodell input'!$B$43*BR58)</f>
        <v>#VALUE!</v>
      </c>
      <c r="BU58" s="290" t="e">
        <f>($D58-Stoff!$P58*$D58-BS58)*($F58/($F58+Stoff!$L58*365))</f>
        <v>#VALUE!</v>
      </c>
      <c r="BV58" s="290" t="e">
        <f>(Stoff!$P58*$D58)-BT58</f>
        <v>#VALUE!</v>
      </c>
      <c r="BW58" s="290" t="e">
        <f>($O58+BU58)*EXP(-($N58+Stoff!$M58*365)*BR58)</f>
        <v>#VALUE!</v>
      </c>
      <c r="BX58" s="290" t="e">
        <f>(Stoff!$P58*$O58+BV58)*EXP(-('1a. Spredningsmodell input'!$B$46)*BR58)</f>
        <v>#VALUE!</v>
      </c>
      <c r="BY58" s="292" t="e">
        <f>((BW58+BX58)*1000000000)/('1a. Spredningsmodell input'!$B$45*1000)</f>
        <v>#VALUE!</v>
      </c>
      <c r="BZ58" s="294" t="e">
        <f>0.001*BY58/('1a. Spredningsmodell input'!$C$25+'1a. Spredningsmodell input'!$C$26/Mellomregninger!$K58)</f>
        <v>#VALUE!</v>
      </c>
      <c r="CA58" s="294" t="e">
        <f>1000*BZ58/$K58+BX58*1000000000/('1a. Spredningsmodell input'!$B$45*1000)</f>
        <v>#VALUE!</v>
      </c>
      <c r="CB58" s="294" t="e">
        <f t="shared" si="4"/>
        <v>#VALUE!</v>
      </c>
      <c r="CC58" s="294" t="e">
        <f>BX58*1000000000/('1a. Spredningsmodell input'!$B$45*1000)</f>
        <v>#VALUE!</v>
      </c>
      <c r="CD58" s="294" t="e">
        <f>V58+'1a. Spredningsmodell input'!$C$35</f>
        <v>#VALUE!</v>
      </c>
      <c r="CE58" s="294" t="e">
        <f>($S58+$Q58*($O58+$I58*($D58*(1-Stoff!$P58))*(1-EXP(-($F58+Stoff!$L58*365)*CD58)))*(1-EXP(-($N58+Stoff!$M58*365)*CD58)))</f>
        <v>#VALUE!</v>
      </c>
      <c r="CF58" s="294" t="e">
        <f t="shared" si="5"/>
        <v>#VALUE!</v>
      </c>
      <c r="CG58" s="296" t="e">
        <f>(CF58/1000000)*'1a. Spredningsmodell input'!$B$49*'1a. Spredningsmodell input'!$C$35</f>
        <v>#VALUE!</v>
      </c>
      <c r="CH58" s="294" t="e">
        <f t="shared" si="17"/>
        <v>#VALUE!</v>
      </c>
      <c r="CI58" s="290" t="e">
        <f>(CH58/1000000)*'1a. Spredningsmodell input'!$B$49*'1a. Spredningsmodell input'!$C$35</f>
        <v>#VALUE!</v>
      </c>
      <c r="CJ58" s="297" t="e">
        <f>($S58)*EXP(-(Stoff!$N58*365+$U58)*CD58)+CG58</f>
        <v>#VALUE!</v>
      </c>
      <c r="CK58" s="297" t="e">
        <f>(Stoff!$P58*$S58+CI58)*EXP(-$T58*CD58)</f>
        <v>#VALUE!</v>
      </c>
      <c r="CL58" s="297" t="e">
        <f>(CJ58+CK58)*1000000000/('1a. Spredningsmodell input'!$C$36*1000)</f>
        <v>#VALUE!</v>
      </c>
      <c r="CM58" s="297" t="e">
        <f>$G58*(1-EXP(-'1a. Spredningsmodell input'!$B$43*Mellomregninger!CD58))*(1-EXP(-'1a. Spredningsmodell input'!$B$46*Mellomregninger!CD58))</f>
        <v>#VALUE!</v>
      </c>
      <c r="CN58" s="297"/>
      <c r="CO58" s="297"/>
      <c r="CP58" s="290">
        <f>IF(ISNUMBER(AH58),AH58+'1a. Spredningsmodell input'!$C$35,'1a. Spredningsmodell input'!$C$35)</f>
        <v>1</v>
      </c>
      <c r="CQ58" s="294" t="e">
        <f>($S58+$Q58*($O58+$I58*($D58*(1-Stoff!$P58))*(1-EXP(-($F58+Stoff!$L58*365)*CP58)))*(1-EXP(-($N58+Stoff!$M58*365)*CP58)))</f>
        <v>#VALUE!</v>
      </c>
      <c r="CR58" s="294" t="e">
        <f t="shared" si="6"/>
        <v>#VALUE!</v>
      </c>
      <c r="CS58" s="296" t="e">
        <f>(CR58/1000000)*('1a. Spredningsmodell input'!$B$49*'1a. Spredningsmodell input'!$C$35)</f>
        <v>#VALUE!</v>
      </c>
      <c r="CT58" s="294" t="e">
        <f t="shared" si="7"/>
        <v>#VALUE!</v>
      </c>
      <c r="CU58" s="290" t="e">
        <f>(CT58/1000000)*('1a. Spredningsmodell input'!$B$49)*'1a. Spredningsmodell input'!$C$35</f>
        <v>#VALUE!</v>
      </c>
      <c r="CV58" s="297" t="e">
        <f>($S58)*EXP(-(Stoff!$N58*365+$U58)*CP58)+CS58</f>
        <v>#VALUE!</v>
      </c>
      <c r="CW58" s="297" t="e">
        <f>(Stoff!$P58*$S58+CU58)*EXP(-$T58*CP58)</f>
        <v>#VALUE!</v>
      </c>
      <c r="CX58" s="297">
        <f>IF(ISERROR(CV58),0,(CV58+CW58)*1000000000/('1a. Spredningsmodell input'!$C$36*1000))</f>
        <v>0</v>
      </c>
      <c r="CY58" s="297" t="e">
        <f>$G58*(1-EXP(-'1a. Spredningsmodell input'!$B$43*Mellomregninger!CP58))*(1-EXP(-'1a. Spredningsmodell input'!$B$46*Mellomregninger!CP58))</f>
        <v>#VALUE!</v>
      </c>
      <c r="CZ58" s="297"/>
      <c r="DA58" s="297"/>
      <c r="DB58" s="262">
        <f t="shared" si="28"/>
        <v>5</v>
      </c>
      <c r="DC58" s="298" t="e">
        <f>($S58+$Q58*($O58+$I58*($D58*(1-Stoff!$P58))*(1-EXP(-($F58+Stoff!$L58*365)*DB58)))*(1-EXP(-($N58+Stoff!$M58*365)*DB58)))</f>
        <v>#VALUE!</v>
      </c>
      <c r="DD58" s="294" t="e">
        <f t="shared" si="8"/>
        <v>#VALUE!</v>
      </c>
      <c r="DE58" s="296" t="e">
        <f>(DD58/1000000)*('1a. Spredningsmodell input'!$B$49)*'1a. Spredningsmodell input'!$C$35</f>
        <v>#VALUE!</v>
      </c>
      <c r="DF58" s="294" t="e">
        <f t="shared" si="19"/>
        <v>#VALUE!</v>
      </c>
      <c r="DG58" s="290" t="e">
        <f>(DF58/1000000)*('1a. Spredningsmodell input'!$B$49)*'1a. Spredningsmodell input'!$C$35</f>
        <v>#VALUE!</v>
      </c>
      <c r="DH58" s="297" t="e">
        <f>($S58)*EXP(-(Stoff!$N58*365+$U58)*DB58)+DE58</f>
        <v>#VALUE!</v>
      </c>
      <c r="DI58" s="297" t="e">
        <f>(Stoff!$P58*$S58+DG58)*EXP(-$T58*DB58)</f>
        <v>#VALUE!</v>
      </c>
      <c r="DJ58" s="297" t="e">
        <f>(DH58+DI58)*1000000000/('1a. Spredningsmodell input'!$C$36*1000)</f>
        <v>#VALUE!</v>
      </c>
      <c r="DK58" s="297" t="e">
        <f>$G58*(1-EXP(-'1a. Spredningsmodell input'!$B$43*Mellomregninger!DB58))*(1-EXP(-'1a. Spredningsmodell input'!$B$46*Mellomregninger!DB58))</f>
        <v>#VALUE!</v>
      </c>
      <c r="DL58" s="297"/>
      <c r="DM58" s="297"/>
      <c r="DN58" s="262">
        <f t="shared" si="29"/>
        <v>20</v>
      </c>
      <c r="DO58" s="298" t="e">
        <f>($S58+$Q58*($O58+$I58*($D58*(1-Stoff!$P58))*(1-EXP(-($F58+Stoff!$L58*365)*DN58)))*(1-EXP(-($N58+Stoff!$M58*365)*DN58)))</f>
        <v>#VALUE!</v>
      </c>
      <c r="DP58" s="294" t="e">
        <f t="shared" si="21"/>
        <v>#VALUE!</v>
      </c>
      <c r="DQ58" s="296" t="e">
        <f>(DP58/1000000)*('1a. Spredningsmodell input'!$B$49)*'1a. Spredningsmodell input'!$C$35</f>
        <v>#VALUE!</v>
      </c>
      <c r="DR58" s="294" t="e">
        <f t="shared" si="9"/>
        <v>#VALUE!</v>
      </c>
      <c r="DS58" s="290" t="e">
        <f>(DR58/1000000)*('1a. Spredningsmodell input'!$B$49)*'1a. Spredningsmodell input'!$C$35</f>
        <v>#VALUE!</v>
      </c>
      <c r="DT58" s="297" t="e">
        <f>($S58)*EXP(-(Stoff!$N58*365+$U58)*DN58)+DQ58</f>
        <v>#VALUE!</v>
      </c>
      <c r="DU58" s="297" t="e">
        <f>(Stoff!$P58*$S58+DS58)*EXP(-$T58*DN58)</f>
        <v>#VALUE!</v>
      </c>
      <c r="DV58" s="297" t="e">
        <f>(DT58+DU58)*1000000000/('1a. Spredningsmodell input'!$C$36*1000)</f>
        <v>#VALUE!</v>
      </c>
      <c r="DW58" s="297" t="e">
        <f>$G58*(1-EXP(-'1a. Spredningsmodell input'!$B$43*Mellomregninger!DN58))*(1-EXP(-'1a. Spredningsmodell input'!$B$46*Mellomregninger!DN58))</f>
        <v>#VALUE!</v>
      </c>
      <c r="DX58" s="297"/>
      <c r="DY58" s="297"/>
      <c r="DZ58" s="262">
        <f t="shared" si="30"/>
        <v>100</v>
      </c>
      <c r="EA58" s="298" t="e">
        <f>($S58+$Q58*($O58+$I58*($D58*(1-Stoff!$P58))*(1-EXP(-($F58+Stoff!$L58*365)*DZ58)))*(1-EXP(-($N58+Stoff!$M58*365)*DZ58)))</f>
        <v>#VALUE!</v>
      </c>
      <c r="EB58" s="294" t="e">
        <f t="shared" si="10"/>
        <v>#VALUE!</v>
      </c>
      <c r="EC58" s="296" t="e">
        <f>(EB58/1000000)*('1a. Spredningsmodell input'!$B$49)*'1a. Spredningsmodell input'!$C$35</f>
        <v>#VALUE!</v>
      </c>
      <c r="ED58" s="294" t="e">
        <f t="shared" si="11"/>
        <v>#VALUE!</v>
      </c>
      <c r="EE58" s="290" t="e">
        <f>(ED58/1000000)*('1a. Spredningsmodell input'!$B$49)*'1a. Spredningsmodell input'!$C$35</f>
        <v>#VALUE!</v>
      </c>
      <c r="EF58" s="297" t="e">
        <f>($S58)*EXP(-(Stoff!$N58*365+$U58)*DZ58)+EC58</f>
        <v>#VALUE!</v>
      </c>
      <c r="EG58" s="297" t="e">
        <f>(Stoff!$P58*$S58+EE58)*EXP(-$T58*DZ58)</f>
        <v>#VALUE!</v>
      </c>
      <c r="EH58" s="297" t="e">
        <f>(EF58+EG58)*1000000000/('1a. Spredningsmodell input'!$C$36*1000)</f>
        <v>#VALUE!</v>
      </c>
      <c r="EI58" s="297" t="e">
        <f>$G58*(1-EXP(-'1a. Spredningsmodell input'!$B$43*Mellomregninger!DZ58))*(1-EXP(-'1a. Spredningsmodell input'!$B$46*Mellomregninger!DZ58))</f>
        <v>#VALUE!</v>
      </c>
      <c r="EJ58" s="297"/>
      <c r="EK58" s="297"/>
      <c r="EL58" s="262">
        <f t="shared" si="31"/>
        <v>1.0000000000000001E+25</v>
      </c>
      <c r="EM58" s="294" t="e">
        <f>($S58+$Q58*($O58+$I58*($D58*(1-Stoff!$P58))*(1-EXP(-($F58+Stoff!$L58*365)*EL58)))*(1-EXP(-($N58+Stoff!$M58*365)*EL58)))</f>
        <v>#VALUE!</v>
      </c>
      <c r="EN58" s="296" t="e">
        <f>($S58+$Q58*($O58+$I58*($D58*(1-Stoff!$P58))*(1-EXP(-($F58+Stoff!$L58*365)*(EL58-'1a. Spredningsmodell input'!$C$35))))*(1-EXP(-($N58+Stoff!$M58*365)*(EL58-'1a. Spredningsmodell input'!$C$35))))</f>
        <v>#VALUE!</v>
      </c>
      <c r="EO58" s="294" t="e">
        <f>IF(EL58&lt;'1a. Spredningsmodell input'!$C$35,EM58-($S58)*EXP(-(Stoff!$N58*365+$U58)*EL58),EM58-EN58)</f>
        <v>#VALUE!</v>
      </c>
      <c r="EP58" s="290" t="e">
        <f>((($D58*(Stoff!$P58))*(1-EXP(-'1a. Spredningsmodell input'!$B$43*EL58)))*(1-EXP(-'1a. Spredningsmodell input'!$B$46*EL58)))</f>
        <v>#VALUE!</v>
      </c>
      <c r="EQ58" s="294" t="e">
        <f>((($D58*(Stoff!$P58))*(1-EXP(-'1a. Spredningsmodell input'!$B$43*(EL58-'1a. Spredningsmodell input'!$C$35))))*(1-EXP(-'1a. Spredningsmodell input'!$B$46*(EL58-'1a. Spredningsmodell input'!$C$35))))</f>
        <v>#VALUE!</v>
      </c>
      <c r="ER58" s="290" t="e">
        <f>IF(EL58&lt;'1a. Spredningsmodell input'!$C$35,0,EP58-EQ58)</f>
        <v>#VALUE!</v>
      </c>
      <c r="ES58" s="297" t="e">
        <f>($S58)*EXP(-(Stoff!$N58*365+$U58)*EL58)+EO58</f>
        <v>#VALUE!</v>
      </c>
      <c r="ET58" s="297" t="e">
        <f>(Stoff!$P58*$S58+ER58)*EXP(-$T58*EL58)</f>
        <v>#VALUE!</v>
      </c>
      <c r="EU58" s="297" t="e">
        <f>(ES58+ET58)*1000000000/('1a. Spredningsmodell input'!$C$36*1000)</f>
        <v>#VALUE!</v>
      </c>
      <c r="EV58" s="262" t="e">
        <f t="shared" si="32"/>
        <v>#VALUE!</v>
      </c>
      <c r="EW58" s="299" t="e">
        <f t="shared" si="33"/>
        <v>#VALUE!</v>
      </c>
      <c r="EX58" s="262" t="e">
        <f t="shared" si="34"/>
        <v>#VALUE!</v>
      </c>
    </row>
    <row r="59" spans="1:154" x14ac:dyDescent="0.35">
      <c r="A59" s="50" t="s">
        <v>151</v>
      </c>
      <c r="B59" s="34" t="str">
        <f>IF(ISNUMBER('1c. Kons. porevann'!E59),1000*'1c. Kons. porevann'!E59,IF(ISNUMBER('1b. Kons. umettet jord'!E59),1000*'1b. Kons. umettet jord'!E59/C59,""))</f>
        <v/>
      </c>
      <c r="C59" s="244">
        <f>IF(Stoff!B59="uorganisk",Stoff!C59,Stoff!D59*'1a. Spredningsmodell input'!$C$11)</f>
        <v>2.5</v>
      </c>
      <c r="D59" s="34" t="str">
        <f>IF(ISNUMBER(B59),0.000001*('1b. Kons. umettet jord'!G59*'1a. Spredningsmodell input'!$C$12+B59*0.001*'1a. Spredningsmodell input'!$C$14)*1000*'1a. Spredningsmodell input'!$B$41*'1a. Spredningsmodell input'!$C$18,"")</f>
        <v/>
      </c>
      <c r="E59" s="283">
        <f>C59*'1a. Spredningsmodell input'!$C$12/'1a. Spredningsmodell input'!$C$14+1</f>
        <v>22.25</v>
      </c>
      <c r="F59" s="284">
        <f>'1a. Spredningsmodell input'!$B$43/E59</f>
        <v>6.7415730337078636E-2</v>
      </c>
      <c r="G59" s="34" t="e">
        <f>Stoff!P59*Mellomregninger!D59</f>
        <v>#VALUE!</v>
      </c>
      <c r="H59" s="283" t="e">
        <f>(D59-G59)*(F59/(F59+Stoff!L59))</f>
        <v>#VALUE!</v>
      </c>
      <c r="I59" s="283">
        <f>F59/(F59+Stoff!L59)</f>
        <v>1</v>
      </c>
      <c r="J59" s="285" t="str">
        <f>IF(B59="","",IF(ISNUMBER('1d. Kons. mettet sone'!E59),'1d. Kons. mettet sone'!E59,IF(ISNUMBER('1e. Kons. grunnvann'!E59),'1e. Kons. grunnvann'!E59*Mellomregninger!K59,0)))</f>
        <v/>
      </c>
      <c r="K59" s="286">
        <f>IF(Stoff!B59="uorganisk",Stoff!C59,Stoff!D59*'1a. Spredningsmodell input'!$C$24)</f>
        <v>0.25</v>
      </c>
      <c r="L59" s="27" t="e">
        <f>IF(ISNUMBER('1e. Kons. grunnvann'!E59),1000*'1e. Kons. grunnvann'!E59,1000*J59/K59)</f>
        <v>#VALUE!</v>
      </c>
      <c r="M59" s="34">
        <f>K59*'1a. Spredningsmodell input'!$C$25/'1a. Spredningsmodell input'!$C$26+1</f>
        <v>2.0625</v>
      </c>
      <c r="N59" s="284">
        <f>'1a. Spredningsmodell input'!$C$26/M59</f>
        <v>0.19393939393939394</v>
      </c>
      <c r="O59" s="287" t="e">
        <f>0.000000001*(J59*'1a. Spredningsmodell input'!$C$25+L59)*1000*'1a. Spredningsmodell input'!$B$45</f>
        <v>#VALUE!</v>
      </c>
      <c r="P59" s="287" t="e">
        <f>O59*Stoff!P59</f>
        <v>#VALUE!</v>
      </c>
      <c r="Q59" s="287">
        <f>N59/(N59+Stoff!M59)</f>
        <v>1</v>
      </c>
      <c r="R59" s="288">
        <f>IF(ISNUMBER('1f. Kons. resipient'!E59),'1f. Kons. resipient'!E59,0)</f>
        <v>0</v>
      </c>
      <c r="S59" s="288">
        <f>0.000000001*'1a. Spredningsmodell input'!$C$36*R59*1000</f>
        <v>0</v>
      </c>
      <c r="T59" s="288">
        <f>1/'1a. Spredningsmodell input'!$C$35</f>
        <v>1</v>
      </c>
      <c r="U59" s="288">
        <f>1/'1a. Spredningsmodell input'!$C$35</f>
        <v>1</v>
      </c>
      <c r="V59" s="300" t="e">
        <f>(1/($N59+Stoff!$L59))*(LN(($D59*$I59/($D59*$I59+$J59))*($F59+Stoff!$L59+$N59+Stoff!$M59)/($N59+Stoff!$M59)))</f>
        <v>#VALUE!</v>
      </c>
      <c r="W59" s="290" t="e">
        <f>($D59-Stoff!$P59*$D59)*EXP(-($F59+Stoff!$L59*365)*V59)</f>
        <v>#VALUE!</v>
      </c>
      <c r="X59" s="291" t="e">
        <f>(Stoff!$P59*$D59)*EXP(-'1a. Spredningsmodell input'!$B$43*V59)</f>
        <v>#VALUE!</v>
      </c>
      <c r="Y59" s="290" t="e">
        <f>($D59-Stoff!$P59*$D59-W59)*($F59/($F59+Stoff!$L59*365))</f>
        <v>#VALUE!</v>
      </c>
      <c r="Z59" s="290" t="e">
        <f>(Stoff!$P59*$D59)-X59</f>
        <v>#VALUE!</v>
      </c>
      <c r="AA59" s="290" t="e">
        <f>($O59+Y59)*EXP(-($N59+Stoff!$M59*365)*V59)</f>
        <v>#VALUE!</v>
      </c>
      <c r="AB59" s="290" t="e">
        <f>(Stoff!$P59*$O59+Z59)*EXP(-('1a. Spredningsmodell input'!$B$46)*V59)</f>
        <v>#VALUE!</v>
      </c>
      <c r="AC59" s="292" t="e">
        <f>((AA59+AB59)*1000000000)/('1a. Spredningsmodell input'!$B$45*1000)</f>
        <v>#VALUE!</v>
      </c>
      <c r="AD59" s="294" t="e">
        <f>0.001*AC59/('1a. Spredningsmodell input'!$C$25+'1a. Spredningsmodell input'!$C$26/Mellomregninger!$K59)</f>
        <v>#VALUE!</v>
      </c>
      <c r="AE59" s="294" t="e">
        <f>1000*AD59/$K59+AB59*1000000000/('1a. Spredningsmodell input'!$B$45*1000)</f>
        <v>#VALUE!</v>
      </c>
      <c r="AF59" s="294" t="e">
        <f t="shared" si="0"/>
        <v>#VALUE!</v>
      </c>
      <c r="AG59" s="294" t="e">
        <f>AB59*1000000000/('1a. Spredningsmodell input'!$B$45*1000)</f>
        <v>#VALUE!</v>
      </c>
      <c r="AH59" s="300" t="e">
        <f>(1/('1a. Spredningsmodell input'!$B$46))*(LN(($D59*Stoff!$P59/($D59*Stoff!$P59+$P59*Stoff!$P59))*('1a. Spredningsmodell input'!$B$43+'1a. Spredningsmodell input'!$B$46)/('1a. Spredningsmodell input'!$B$46)))</f>
        <v>#VALUE!</v>
      </c>
      <c r="AI59" s="290" t="e">
        <f>($D59-Stoff!$P59*$D59)*EXP(-($F59+Stoff!$L59*365)*AH59)</f>
        <v>#VALUE!</v>
      </c>
      <c r="AJ59" s="291" t="e">
        <f>(Stoff!$P59*$D59)*EXP(-'1a. Spredningsmodell input'!$B$43*AH59)</f>
        <v>#VALUE!</v>
      </c>
      <c r="AK59" s="290" t="e">
        <f>($D59-Stoff!$P59*$D59-AI59)*($F59/($F59+Stoff!$L59*365))</f>
        <v>#VALUE!</v>
      </c>
      <c r="AL59" s="290" t="e">
        <f>(Stoff!$P59*$D59)-AJ59</f>
        <v>#VALUE!</v>
      </c>
      <c r="AM59" s="290" t="e">
        <f>($O59+AK59)*EXP(-($N59+Stoff!$M59*365)*AH59)</f>
        <v>#VALUE!</v>
      </c>
      <c r="AN59" s="290" t="e">
        <f>(Stoff!$P59*$O59+AL59)*EXP(-('1a. Spredningsmodell input'!$B$46)*AH59)</f>
        <v>#VALUE!</v>
      </c>
      <c r="AO59" s="292" t="e">
        <f>((AM59+AN59)*1000000000)/('1a. Spredningsmodell input'!$B$45*1000)</f>
        <v>#VALUE!</v>
      </c>
      <c r="AP59" s="294" t="e">
        <f>0.001*AO59/('1a. Spredningsmodell input'!$C$25+'1a. Spredningsmodell input'!$C$26/Mellomregninger!$K59)</f>
        <v>#VALUE!</v>
      </c>
      <c r="AQ59" s="294" t="e">
        <f>1000*AP59/$K59+AN59*1000000000/('1a. Spredningsmodell input'!$B$45*1000)</f>
        <v>#VALUE!</v>
      </c>
      <c r="AR59" s="294" t="e">
        <f t="shared" si="1"/>
        <v>#VALUE!</v>
      </c>
      <c r="AS59" s="294" t="e">
        <f>AN59*1000000000/('1a. Spredningsmodell input'!$B$45*1000)</f>
        <v>#VALUE!</v>
      </c>
      <c r="AT59" s="295">
        <f t="shared" si="25"/>
        <v>5</v>
      </c>
      <c r="AU59" s="290" t="e">
        <f>($D59-Stoff!$P59*$D59)*EXP(-($F59+Stoff!$L59*365)*AT59)</f>
        <v>#VALUE!</v>
      </c>
      <c r="AV59" s="291" t="e">
        <f>(Stoff!$P59*$D59)*EXP(-'1a. Spredningsmodell input'!$B$43*AT59)</f>
        <v>#VALUE!</v>
      </c>
      <c r="AW59" s="290" t="e">
        <f>($D59-Stoff!$P59*$D59-AU59)*($F59/($F59+Stoff!$L59*365))</f>
        <v>#VALUE!</v>
      </c>
      <c r="AX59" s="290" t="e">
        <f>(Stoff!$P59*$D59)-AV59</f>
        <v>#VALUE!</v>
      </c>
      <c r="AY59" s="290" t="e">
        <f>($O59+AW59)*EXP(-($N59+Stoff!$M59*365)*AT59)</f>
        <v>#VALUE!</v>
      </c>
      <c r="AZ59" s="290" t="e">
        <f>(Stoff!$P59*$O59+AX59)*EXP(-('1a. Spredningsmodell input'!$B$46)*AT59)</f>
        <v>#VALUE!</v>
      </c>
      <c r="BA59" s="292" t="e">
        <f>((AY59+AZ59)*1000000000)/('1a. Spredningsmodell input'!$B$45*1000)</f>
        <v>#VALUE!</v>
      </c>
      <c r="BB59" s="294" t="e">
        <f>0.001*BA59/('1a. Spredningsmodell input'!$C$25+'1a. Spredningsmodell input'!$C$26/Mellomregninger!$K59)</f>
        <v>#VALUE!</v>
      </c>
      <c r="BC59" s="294" t="e">
        <f>1000*BB59/$K59+AZ59*1000000000/('1a. Spredningsmodell input'!$B$45*1000)</f>
        <v>#VALUE!</v>
      </c>
      <c r="BD59" s="294" t="e">
        <f t="shared" si="2"/>
        <v>#VALUE!</v>
      </c>
      <c r="BE59" s="294" t="e">
        <f>AZ59*1000000000/('1a. Spredningsmodell input'!$B$45*1000)</f>
        <v>#VALUE!</v>
      </c>
      <c r="BF59" s="295">
        <f t="shared" si="26"/>
        <v>20</v>
      </c>
      <c r="BG59" s="290" t="e">
        <f>($D59-Stoff!$P59*$D59)*EXP(-($F59+Stoff!$L59*365)*BF59)</f>
        <v>#VALUE!</v>
      </c>
      <c r="BH59" s="291" t="e">
        <f>(Stoff!$P59*$D59)*EXP(-'1a. Spredningsmodell input'!$B$43*BF59)</f>
        <v>#VALUE!</v>
      </c>
      <c r="BI59" s="290" t="e">
        <f>($D59-Stoff!$P59*$D59-BG59)*($F59/($F59+Stoff!$L59*365))</f>
        <v>#VALUE!</v>
      </c>
      <c r="BJ59" s="290" t="e">
        <f>(Stoff!$P59*$D59)-BH59</f>
        <v>#VALUE!</v>
      </c>
      <c r="BK59" s="290" t="e">
        <f>($O59+BI59)*EXP(-($N59+Stoff!$M59*365)*BF59)</f>
        <v>#VALUE!</v>
      </c>
      <c r="BL59" s="290" t="e">
        <f>(Stoff!$P59*$O59+BJ59)*EXP(-('1a. Spredningsmodell input'!$B$46)*BF59)</f>
        <v>#VALUE!</v>
      </c>
      <c r="BM59" s="292" t="e">
        <f>((BK59+BL59)*1000000000)/('1a. Spredningsmodell input'!$B$45*1000)</f>
        <v>#VALUE!</v>
      </c>
      <c r="BN59" s="294" t="e">
        <f>0.001*BM59/('1a. Spredningsmodell input'!$C$25+'1a. Spredningsmodell input'!$C$26/Mellomregninger!$K59)</f>
        <v>#VALUE!</v>
      </c>
      <c r="BO59" s="294" t="e">
        <f>1000*BN59/$K59+BL59*1000000000/('1a. Spredningsmodell input'!$B$45*1000)</f>
        <v>#VALUE!</v>
      </c>
      <c r="BP59" s="294" t="e">
        <f t="shared" si="3"/>
        <v>#VALUE!</v>
      </c>
      <c r="BQ59" s="294" t="e">
        <f>BL59*1000000000/('1a. Spredningsmodell input'!$B$45*1000)</f>
        <v>#VALUE!</v>
      </c>
      <c r="BR59" s="295">
        <f t="shared" si="27"/>
        <v>100</v>
      </c>
      <c r="BS59" s="290" t="e">
        <f>($D59-Stoff!$P59*$D59)*EXP(-($F59+Stoff!$L59*365)*BR59)</f>
        <v>#VALUE!</v>
      </c>
      <c r="BT59" s="291" t="e">
        <f>(Stoff!$P59*$D59)*EXP(-'1a. Spredningsmodell input'!$B$43*BR59)</f>
        <v>#VALUE!</v>
      </c>
      <c r="BU59" s="290" t="e">
        <f>($D59-Stoff!$P59*$D59-BS59)*($F59/($F59+Stoff!$L59*365))</f>
        <v>#VALUE!</v>
      </c>
      <c r="BV59" s="290" t="e">
        <f>(Stoff!$P59*$D59)-BT59</f>
        <v>#VALUE!</v>
      </c>
      <c r="BW59" s="290" t="e">
        <f>($O59+BU59)*EXP(-($N59+Stoff!$M59*365)*BR59)</f>
        <v>#VALUE!</v>
      </c>
      <c r="BX59" s="290" t="e">
        <f>(Stoff!$P59*$O59+BV59)*EXP(-('1a. Spredningsmodell input'!$B$46)*BR59)</f>
        <v>#VALUE!</v>
      </c>
      <c r="BY59" s="292" t="e">
        <f>((BW59+BX59)*1000000000)/('1a. Spredningsmodell input'!$B$45*1000)</f>
        <v>#VALUE!</v>
      </c>
      <c r="BZ59" s="294" t="e">
        <f>0.001*BY59/('1a. Spredningsmodell input'!$C$25+'1a. Spredningsmodell input'!$C$26/Mellomregninger!$K59)</f>
        <v>#VALUE!</v>
      </c>
      <c r="CA59" s="294" t="e">
        <f>1000*BZ59/$K59+BX59*1000000000/('1a. Spredningsmodell input'!$B$45*1000)</f>
        <v>#VALUE!</v>
      </c>
      <c r="CB59" s="294" t="e">
        <f t="shared" si="4"/>
        <v>#VALUE!</v>
      </c>
      <c r="CC59" s="294" t="e">
        <f>BX59*1000000000/('1a. Spredningsmodell input'!$B$45*1000)</f>
        <v>#VALUE!</v>
      </c>
      <c r="CD59" s="294" t="e">
        <f>V59+'1a. Spredningsmodell input'!$C$35</f>
        <v>#VALUE!</v>
      </c>
      <c r="CE59" s="294" t="e">
        <f>($S59+$Q59*($O59+$I59*($D59*(1-Stoff!$P59))*(1-EXP(-($F59+Stoff!$L59*365)*CD59)))*(1-EXP(-($N59+Stoff!$M59*365)*CD59)))</f>
        <v>#VALUE!</v>
      </c>
      <c r="CF59" s="294" t="e">
        <f t="shared" si="5"/>
        <v>#VALUE!</v>
      </c>
      <c r="CG59" s="296" t="e">
        <f>(CF59/1000000)*'1a. Spredningsmodell input'!$B$49*'1a. Spredningsmodell input'!$C$35</f>
        <v>#VALUE!</v>
      </c>
      <c r="CH59" s="294" t="e">
        <f t="shared" si="17"/>
        <v>#VALUE!</v>
      </c>
      <c r="CI59" s="290" t="e">
        <f>(CH59/1000000)*'1a. Spredningsmodell input'!$B$49*'1a. Spredningsmodell input'!$C$35</f>
        <v>#VALUE!</v>
      </c>
      <c r="CJ59" s="297" t="e">
        <f>($S59)*EXP(-(Stoff!$N59*365+$U59)*CD59)+CG59</f>
        <v>#VALUE!</v>
      </c>
      <c r="CK59" s="297" t="e">
        <f>(Stoff!$P59*$S59+CI59)*EXP(-$T59*CD59)</f>
        <v>#VALUE!</v>
      </c>
      <c r="CL59" s="297" t="e">
        <f>(CJ59+CK59)*1000000000/('1a. Spredningsmodell input'!$C$36*1000)</f>
        <v>#VALUE!</v>
      </c>
      <c r="CM59" s="297" t="e">
        <f>$G59*(1-EXP(-'1a. Spredningsmodell input'!$B$43*Mellomregninger!CD59))*(1-EXP(-'1a. Spredningsmodell input'!$B$46*Mellomregninger!CD59))</f>
        <v>#VALUE!</v>
      </c>
      <c r="CN59" s="297"/>
      <c r="CO59" s="297"/>
      <c r="CP59" s="290">
        <f>IF(ISNUMBER(AH59),AH59+'1a. Spredningsmodell input'!$C$35,'1a. Spredningsmodell input'!$C$35)</f>
        <v>1</v>
      </c>
      <c r="CQ59" s="294" t="e">
        <f>($S59+$Q59*($O59+$I59*($D59*(1-Stoff!$P59))*(1-EXP(-($F59+Stoff!$L59*365)*CP59)))*(1-EXP(-($N59+Stoff!$M59*365)*CP59)))</f>
        <v>#VALUE!</v>
      </c>
      <c r="CR59" s="294" t="e">
        <f t="shared" si="6"/>
        <v>#VALUE!</v>
      </c>
      <c r="CS59" s="296" t="e">
        <f>(CR59/1000000)*('1a. Spredningsmodell input'!$B$49*'1a. Spredningsmodell input'!$C$35)</f>
        <v>#VALUE!</v>
      </c>
      <c r="CT59" s="294" t="e">
        <f t="shared" si="7"/>
        <v>#VALUE!</v>
      </c>
      <c r="CU59" s="290" t="e">
        <f>(CT59/1000000)*('1a. Spredningsmodell input'!$B$49)*'1a. Spredningsmodell input'!$C$35</f>
        <v>#VALUE!</v>
      </c>
      <c r="CV59" s="297" t="e">
        <f>($S59)*EXP(-(Stoff!$N59*365+$U59)*CP59)+CS59</f>
        <v>#VALUE!</v>
      </c>
      <c r="CW59" s="297" t="e">
        <f>(Stoff!$P59*$S59+CU59)*EXP(-$T59*CP59)</f>
        <v>#VALUE!</v>
      </c>
      <c r="CX59" s="297">
        <f>IF(ISERROR(CV59),0,(CV59+CW59)*1000000000/('1a. Spredningsmodell input'!$C$36*1000))</f>
        <v>0</v>
      </c>
      <c r="CY59" s="297" t="e">
        <f>$G59*(1-EXP(-'1a. Spredningsmodell input'!$B$43*Mellomregninger!CP59))*(1-EXP(-'1a. Spredningsmodell input'!$B$46*Mellomregninger!CP59))</f>
        <v>#VALUE!</v>
      </c>
      <c r="CZ59" s="297"/>
      <c r="DA59" s="297"/>
      <c r="DB59" s="262">
        <f t="shared" si="28"/>
        <v>5</v>
      </c>
      <c r="DC59" s="298" t="e">
        <f>($S59+$Q59*($O59+$I59*($D59*(1-Stoff!$P59))*(1-EXP(-($F59+Stoff!$L59*365)*DB59)))*(1-EXP(-($N59+Stoff!$M59*365)*DB59)))</f>
        <v>#VALUE!</v>
      </c>
      <c r="DD59" s="294" t="e">
        <f t="shared" si="8"/>
        <v>#VALUE!</v>
      </c>
      <c r="DE59" s="296" t="e">
        <f>(DD59/1000000)*('1a. Spredningsmodell input'!$B$49)*'1a. Spredningsmodell input'!$C$35</f>
        <v>#VALUE!</v>
      </c>
      <c r="DF59" s="294" t="e">
        <f t="shared" si="19"/>
        <v>#VALUE!</v>
      </c>
      <c r="DG59" s="290" t="e">
        <f>(DF59/1000000)*('1a. Spredningsmodell input'!$B$49)*'1a. Spredningsmodell input'!$C$35</f>
        <v>#VALUE!</v>
      </c>
      <c r="DH59" s="297" t="e">
        <f>($S59)*EXP(-(Stoff!$N59*365+$U59)*DB59)+DE59</f>
        <v>#VALUE!</v>
      </c>
      <c r="DI59" s="297" t="e">
        <f>(Stoff!$P59*$S59+DG59)*EXP(-$T59*DB59)</f>
        <v>#VALUE!</v>
      </c>
      <c r="DJ59" s="297" t="e">
        <f>(DH59+DI59)*1000000000/('1a. Spredningsmodell input'!$C$36*1000)</f>
        <v>#VALUE!</v>
      </c>
      <c r="DK59" s="297" t="e">
        <f>$G59*(1-EXP(-'1a. Spredningsmodell input'!$B$43*Mellomregninger!DB59))*(1-EXP(-'1a. Spredningsmodell input'!$B$46*Mellomregninger!DB59))</f>
        <v>#VALUE!</v>
      </c>
      <c r="DL59" s="297"/>
      <c r="DM59" s="297"/>
      <c r="DN59" s="262">
        <f t="shared" si="29"/>
        <v>20</v>
      </c>
      <c r="DO59" s="298" t="e">
        <f>($S59+$Q59*($O59+$I59*($D59*(1-Stoff!$P59))*(1-EXP(-($F59+Stoff!$L59*365)*DN59)))*(1-EXP(-($N59+Stoff!$M59*365)*DN59)))</f>
        <v>#VALUE!</v>
      </c>
      <c r="DP59" s="294" t="e">
        <f t="shared" si="21"/>
        <v>#VALUE!</v>
      </c>
      <c r="DQ59" s="296" t="e">
        <f>(DP59/1000000)*('1a. Spredningsmodell input'!$B$49)*'1a. Spredningsmodell input'!$C$35</f>
        <v>#VALUE!</v>
      </c>
      <c r="DR59" s="294" t="e">
        <f t="shared" si="9"/>
        <v>#VALUE!</v>
      </c>
      <c r="DS59" s="290" t="e">
        <f>(DR59/1000000)*('1a. Spredningsmodell input'!$B$49)*'1a. Spredningsmodell input'!$C$35</f>
        <v>#VALUE!</v>
      </c>
      <c r="DT59" s="297" t="e">
        <f>($S59)*EXP(-(Stoff!$N59*365+$U59)*DN59)+DQ59</f>
        <v>#VALUE!</v>
      </c>
      <c r="DU59" s="297" t="e">
        <f>(Stoff!$P59*$S59+DS59)*EXP(-$T59*DN59)</f>
        <v>#VALUE!</v>
      </c>
      <c r="DV59" s="297" t="e">
        <f>(DT59+DU59)*1000000000/('1a. Spredningsmodell input'!$C$36*1000)</f>
        <v>#VALUE!</v>
      </c>
      <c r="DW59" s="297" t="e">
        <f>$G59*(1-EXP(-'1a. Spredningsmodell input'!$B$43*Mellomregninger!DN59))*(1-EXP(-'1a. Spredningsmodell input'!$B$46*Mellomregninger!DN59))</f>
        <v>#VALUE!</v>
      </c>
      <c r="DX59" s="297"/>
      <c r="DY59" s="297"/>
      <c r="DZ59" s="262">
        <f t="shared" si="30"/>
        <v>100</v>
      </c>
      <c r="EA59" s="298" t="e">
        <f>($S59+$Q59*($O59+$I59*($D59*(1-Stoff!$P59))*(1-EXP(-($F59+Stoff!$L59*365)*DZ59)))*(1-EXP(-($N59+Stoff!$M59*365)*DZ59)))</f>
        <v>#VALUE!</v>
      </c>
      <c r="EB59" s="294" t="e">
        <f t="shared" si="10"/>
        <v>#VALUE!</v>
      </c>
      <c r="EC59" s="296" t="e">
        <f>(EB59/1000000)*('1a. Spredningsmodell input'!$B$49)*'1a. Spredningsmodell input'!$C$35</f>
        <v>#VALUE!</v>
      </c>
      <c r="ED59" s="294" t="e">
        <f t="shared" si="11"/>
        <v>#VALUE!</v>
      </c>
      <c r="EE59" s="290" t="e">
        <f>(ED59/1000000)*('1a. Spredningsmodell input'!$B$49)*'1a. Spredningsmodell input'!$C$35</f>
        <v>#VALUE!</v>
      </c>
      <c r="EF59" s="297" t="e">
        <f>($S59)*EXP(-(Stoff!$N59*365+$U59)*DZ59)+EC59</f>
        <v>#VALUE!</v>
      </c>
      <c r="EG59" s="297" t="e">
        <f>(Stoff!$P59*$S59+EE59)*EXP(-$T59*DZ59)</f>
        <v>#VALUE!</v>
      </c>
      <c r="EH59" s="297" t="e">
        <f>(EF59+EG59)*1000000000/('1a. Spredningsmodell input'!$C$36*1000)</f>
        <v>#VALUE!</v>
      </c>
      <c r="EI59" s="297" t="e">
        <f>$G59*(1-EXP(-'1a. Spredningsmodell input'!$B$43*Mellomregninger!DZ59))*(1-EXP(-'1a. Spredningsmodell input'!$B$46*Mellomregninger!DZ59))</f>
        <v>#VALUE!</v>
      </c>
      <c r="EJ59" s="297"/>
      <c r="EK59" s="297"/>
      <c r="EL59" s="262">
        <f t="shared" si="31"/>
        <v>1.0000000000000001E+25</v>
      </c>
      <c r="EM59" s="294" t="e">
        <f>($S59+$Q59*($O59+$I59*($D59*(1-Stoff!$P59))*(1-EXP(-($F59+Stoff!$L59*365)*EL59)))*(1-EXP(-($N59+Stoff!$M59*365)*EL59)))</f>
        <v>#VALUE!</v>
      </c>
      <c r="EN59" s="296" t="e">
        <f>($S59+$Q59*($O59+$I59*($D59*(1-Stoff!$P59))*(1-EXP(-($F59+Stoff!$L59*365)*(EL59-'1a. Spredningsmodell input'!$C$35))))*(1-EXP(-($N59+Stoff!$M59*365)*(EL59-'1a. Spredningsmodell input'!$C$35))))</f>
        <v>#VALUE!</v>
      </c>
      <c r="EO59" s="294" t="e">
        <f>IF(EL59&lt;'1a. Spredningsmodell input'!$C$35,EM59-($S59)*EXP(-(Stoff!$N59*365+$U59)*EL59),EM59-EN59)</f>
        <v>#VALUE!</v>
      </c>
      <c r="EP59" s="290" t="e">
        <f>((($D59*(Stoff!$P59))*(1-EXP(-'1a. Spredningsmodell input'!$B$43*EL59)))*(1-EXP(-'1a. Spredningsmodell input'!$B$46*EL59)))</f>
        <v>#VALUE!</v>
      </c>
      <c r="EQ59" s="294" t="e">
        <f>((($D59*(Stoff!$P59))*(1-EXP(-'1a. Spredningsmodell input'!$B$43*(EL59-'1a. Spredningsmodell input'!$C$35))))*(1-EXP(-'1a. Spredningsmodell input'!$B$46*(EL59-'1a. Spredningsmodell input'!$C$35))))</f>
        <v>#VALUE!</v>
      </c>
      <c r="ER59" s="290" t="e">
        <f>IF(EL59&lt;'1a. Spredningsmodell input'!$C$35,0,EP59-EQ59)</f>
        <v>#VALUE!</v>
      </c>
      <c r="ES59" s="297" t="e">
        <f>($S59)*EXP(-(Stoff!$N59*365+$U59)*EL59)+EO59</f>
        <v>#VALUE!</v>
      </c>
      <c r="ET59" s="297" t="e">
        <f>(Stoff!$P59*$S59+ER59)*EXP(-$T59*EL59)</f>
        <v>#VALUE!</v>
      </c>
      <c r="EU59" s="297" t="e">
        <f>(ES59+ET59)*1000000000/('1a. Spredningsmodell input'!$C$36*1000)</f>
        <v>#VALUE!</v>
      </c>
      <c r="EV59" s="262" t="e">
        <f t="shared" si="32"/>
        <v>#VALUE!</v>
      </c>
      <c r="EW59" s="299" t="e">
        <f t="shared" si="33"/>
        <v>#VALUE!</v>
      </c>
      <c r="EX59" s="262" t="e">
        <f t="shared" si="34"/>
        <v>#VALUE!</v>
      </c>
    </row>
    <row r="60" spans="1:154" x14ac:dyDescent="0.35">
      <c r="A60" s="50" t="s">
        <v>150</v>
      </c>
      <c r="B60" s="34" t="str">
        <f>IF(ISNUMBER('1c. Kons. porevann'!E60),1000*'1c. Kons. porevann'!E60,IF(ISNUMBER('1b. Kons. umettet jord'!E60),1000*'1b. Kons. umettet jord'!E60/C60,""))</f>
        <v/>
      </c>
      <c r="C60" s="244">
        <f>IF(Stoff!B60="uorganisk",Stoff!C60,Stoff!D60*'1a. Spredningsmodell input'!$C$11)</f>
        <v>8</v>
      </c>
      <c r="D60" s="34" t="str">
        <f>IF(ISNUMBER(B60),0.000001*('1b. Kons. umettet jord'!G60*'1a. Spredningsmodell input'!$C$12+B60*0.001*'1a. Spredningsmodell input'!$C$14)*1000*'1a. Spredningsmodell input'!$B$41*'1a. Spredningsmodell input'!$C$18,"")</f>
        <v/>
      </c>
      <c r="E60" s="283">
        <f>C60*'1a. Spredningsmodell input'!$C$12/'1a. Spredningsmodell input'!$C$14+1</f>
        <v>69</v>
      </c>
      <c r="F60" s="284">
        <f>'1a. Spredningsmodell input'!$B$43/E60</f>
        <v>2.1739130434782605E-2</v>
      </c>
      <c r="G60" s="34" t="e">
        <f>Stoff!P60*Mellomregninger!D60</f>
        <v>#VALUE!</v>
      </c>
      <c r="H60" s="283" t="e">
        <f>(D60-G60)*(F60/(F60+Stoff!L60))</f>
        <v>#VALUE!</v>
      </c>
      <c r="I60" s="283">
        <f>F60/(F60+Stoff!L60)</f>
        <v>1</v>
      </c>
      <c r="J60" s="285" t="str">
        <f>IF(B60="","",IF(ISNUMBER('1d. Kons. mettet sone'!E60),'1d. Kons. mettet sone'!E60,IF(ISNUMBER('1e. Kons. grunnvann'!E60),'1e. Kons. grunnvann'!E60*Mellomregninger!K60,0)))</f>
        <v/>
      </c>
      <c r="K60" s="286">
        <f>IF(Stoff!B60="uorganisk",Stoff!C60,Stoff!D60*'1a. Spredningsmodell input'!$C$24)</f>
        <v>0.8</v>
      </c>
      <c r="L60" s="27" t="e">
        <f>IF(ISNUMBER('1e. Kons. grunnvann'!E60),1000*'1e. Kons. grunnvann'!E60,1000*J60/K60)</f>
        <v>#VALUE!</v>
      </c>
      <c r="M60" s="34">
        <f>K60*'1a. Spredningsmodell input'!$C$25/'1a. Spredningsmodell input'!$C$26+1</f>
        <v>4.4000000000000004</v>
      </c>
      <c r="N60" s="284">
        <f>'1a. Spredningsmodell input'!$C$26/M60</f>
        <v>9.0909090909090912E-2</v>
      </c>
      <c r="O60" s="287" t="e">
        <f>0.000000001*(J60*'1a. Spredningsmodell input'!$C$25+L60)*1000*'1a. Spredningsmodell input'!$B$45</f>
        <v>#VALUE!</v>
      </c>
      <c r="P60" s="287" t="e">
        <f>O60*Stoff!P60</f>
        <v>#VALUE!</v>
      </c>
      <c r="Q60" s="287">
        <f>N60/(N60+Stoff!M60)</f>
        <v>1</v>
      </c>
      <c r="R60" s="288">
        <f>IF(ISNUMBER('1f. Kons. resipient'!E60),'1f. Kons. resipient'!E60,0)</f>
        <v>0</v>
      </c>
      <c r="S60" s="288">
        <f>0.000000001*'1a. Spredningsmodell input'!$C$36*R60*1000</f>
        <v>0</v>
      </c>
      <c r="T60" s="288">
        <f>1/'1a. Spredningsmodell input'!$C$35</f>
        <v>1</v>
      </c>
      <c r="U60" s="288">
        <f>1/'1a. Spredningsmodell input'!$C$35</f>
        <v>1</v>
      </c>
      <c r="V60" s="300" t="e">
        <f>(1/($N60+Stoff!$L60))*(LN(($D60*$I60/($D60*$I60+$J60))*($F60+Stoff!$L60+$N60+Stoff!$M60)/($N60+Stoff!$M60)))</f>
        <v>#VALUE!</v>
      </c>
      <c r="W60" s="290" t="e">
        <f>($D60-Stoff!$P60*$D60)*EXP(-($F60+Stoff!$L60*365)*V60)</f>
        <v>#VALUE!</v>
      </c>
      <c r="X60" s="291" t="e">
        <f>(Stoff!$P60*$D60)*EXP(-'1a. Spredningsmodell input'!$B$43*V60)</f>
        <v>#VALUE!</v>
      </c>
      <c r="Y60" s="290" t="e">
        <f>($D60-Stoff!$P60*$D60-W60)*($F60/($F60+Stoff!$L60*365))</f>
        <v>#VALUE!</v>
      </c>
      <c r="Z60" s="290" t="e">
        <f>(Stoff!$P60*$D60)-X60</f>
        <v>#VALUE!</v>
      </c>
      <c r="AA60" s="290" t="e">
        <f>($O60+Y60)*EXP(-($N60+Stoff!$M60*365)*V60)</f>
        <v>#VALUE!</v>
      </c>
      <c r="AB60" s="290" t="e">
        <f>(Stoff!$P60*$O60+Z60)*EXP(-('1a. Spredningsmodell input'!$B$46)*V60)</f>
        <v>#VALUE!</v>
      </c>
      <c r="AC60" s="292" t="e">
        <f>((AA60+AB60)*1000000000)/('1a. Spredningsmodell input'!$B$45*1000)</f>
        <v>#VALUE!</v>
      </c>
      <c r="AD60" s="294" t="e">
        <f>0.001*AC60/('1a. Spredningsmodell input'!$C$25+'1a. Spredningsmodell input'!$C$26/Mellomregninger!$K60)</f>
        <v>#VALUE!</v>
      </c>
      <c r="AE60" s="294" t="e">
        <f>1000*AD60/$K60+AB60*1000000000/('1a. Spredningsmodell input'!$B$45*1000)</f>
        <v>#VALUE!</v>
      </c>
      <c r="AF60" s="294" t="e">
        <f t="shared" si="0"/>
        <v>#VALUE!</v>
      </c>
      <c r="AG60" s="294" t="e">
        <f>AB60*1000000000/('1a. Spredningsmodell input'!$B$45*1000)</f>
        <v>#VALUE!</v>
      </c>
      <c r="AH60" s="300" t="e">
        <f>(1/('1a. Spredningsmodell input'!$B$46))*(LN(($D60*Stoff!$P60/($D60*Stoff!$P60+$P60*Stoff!$P60))*('1a. Spredningsmodell input'!$B$43+'1a. Spredningsmodell input'!$B$46)/('1a. Spredningsmodell input'!$B$46)))</f>
        <v>#VALUE!</v>
      </c>
      <c r="AI60" s="290" t="e">
        <f>($D60-Stoff!$P60*$D60)*EXP(-($F60+Stoff!$L60*365)*AH60)</f>
        <v>#VALUE!</v>
      </c>
      <c r="AJ60" s="291" t="e">
        <f>(Stoff!$P60*$D60)*EXP(-'1a. Spredningsmodell input'!$B$43*AH60)</f>
        <v>#VALUE!</v>
      </c>
      <c r="AK60" s="290" t="e">
        <f>($D60-Stoff!$P60*$D60-AI60)*($F60/($F60+Stoff!$L60*365))</f>
        <v>#VALUE!</v>
      </c>
      <c r="AL60" s="290" t="e">
        <f>(Stoff!$P60*$D60)-AJ60</f>
        <v>#VALUE!</v>
      </c>
      <c r="AM60" s="290" t="e">
        <f>($O60+AK60)*EXP(-($N60+Stoff!$M60*365)*AH60)</f>
        <v>#VALUE!</v>
      </c>
      <c r="AN60" s="290" t="e">
        <f>(Stoff!$P60*$O60+AL60)*EXP(-('1a. Spredningsmodell input'!$B$46)*AH60)</f>
        <v>#VALUE!</v>
      </c>
      <c r="AO60" s="292" t="e">
        <f>((AM60+AN60)*1000000000)/('1a. Spredningsmodell input'!$B$45*1000)</f>
        <v>#VALUE!</v>
      </c>
      <c r="AP60" s="294" t="e">
        <f>0.001*AO60/('1a. Spredningsmodell input'!$C$25+'1a. Spredningsmodell input'!$C$26/Mellomregninger!$K60)</f>
        <v>#VALUE!</v>
      </c>
      <c r="AQ60" s="294" t="e">
        <f>1000*AP60/$K60+AN60*1000000000/('1a. Spredningsmodell input'!$B$45*1000)</f>
        <v>#VALUE!</v>
      </c>
      <c r="AR60" s="294" t="e">
        <f t="shared" si="1"/>
        <v>#VALUE!</v>
      </c>
      <c r="AS60" s="294" t="e">
        <f>AN60*1000000000/('1a. Spredningsmodell input'!$B$45*1000)</f>
        <v>#VALUE!</v>
      </c>
      <c r="AT60" s="295">
        <f t="shared" si="25"/>
        <v>5</v>
      </c>
      <c r="AU60" s="290" t="e">
        <f>($D60-Stoff!$P60*$D60)*EXP(-($F60+Stoff!$L60*365)*AT60)</f>
        <v>#VALUE!</v>
      </c>
      <c r="AV60" s="291" t="e">
        <f>(Stoff!$P60*$D60)*EXP(-'1a. Spredningsmodell input'!$B$43*AT60)</f>
        <v>#VALUE!</v>
      </c>
      <c r="AW60" s="290" t="e">
        <f>($D60-Stoff!$P60*$D60-AU60)*($F60/($F60+Stoff!$L60*365))</f>
        <v>#VALUE!</v>
      </c>
      <c r="AX60" s="290" t="e">
        <f>(Stoff!$P60*$D60)-AV60</f>
        <v>#VALUE!</v>
      </c>
      <c r="AY60" s="290" t="e">
        <f>($O60+AW60)*EXP(-($N60+Stoff!$M60*365)*AT60)</f>
        <v>#VALUE!</v>
      </c>
      <c r="AZ60" s="290" t="e">
        <f>(Stoff!$P60*$O60+AX60)*EXP(-('1a. Spredningsmodell input'!$B$46)*AT60)</f>
        <v>#VALUE!</v>
      </c>
      <c r="BA60" s="292" t="e">
        <f>((AY60+AZ60)*1000000000)/('1a. Spredningsmodell input'!$B$45*1000)</f>
        <v>#VALUE!</v>
      </c>
      <c r="BB60" s="294" t="e">
        <f>0.001*BA60/('1a. Spredningsmodell input'!$C$25+'1a. Spredningsmodell input'!$C$26/Mellomregninger!$K60)</f>
        <v>#VALUE!</v>
      </c>
      <c r="BC60" s="294" t="e">
        <f>1000*BB60/$K60+AZ60*1000000000/('1a. Spredningsmodell input'!$B$45*1000)</f>
        <v>#VALUE!</v>
      </c>
      <c r="BD60" s="294" t="e">
        <f t="shared" si="2"/>
        <v>#VALUE!</v>
      </c>
      <c r="BE60" s="294" t="e">
        <f>AZ60*1000000000/('1a. Spredningsmodell input'!$B$45*1000)</f>
        <v>#VALUE!</v>
      </c>
      <c r="BF60" s="295">
        <f t="shared" si="26"/>
        <v>20</v>
      </c>
      <c r="BG60" s="290" t="e">
        <f>($D60-Stoff!$P60*$D60)*EXP(-($F60+Stoff!$L60*365)*BF60)</f>
        <v>#VALUE!</v>
      </c>
      <c r="BH60" s="291" t="e">
        <f>(Stoff!$P60*$D60)*EXP(-'1a. Spredningsmodell input'!$B$43*BF60)</f>
        <v>#VALUE!</v>
      </c>
      <c r="BI60" s="290" t="e">
        <f>($D60-Stoff!$P60*$D60-BG60)*($F60/($F60+Stoff!$L60*365))</f>
        <v>#VALUE!</v>
      </c>
      <c r="BJ60" s="290" t="e">
        <f>(Stoff!$P60*$D60)-BH60</f>
        <v>#VALUE!</v>
      </c>
      <c r="BK60" s="290" t="e">
        <f>($O60+BI60)*EXP(-($N60+Stoff!$M60*365)*BF60)</f>
        <v>#VALUE!</v>
      </c>
      <c r="BL60" s="290" t="e">
        <f>(Stoff!$P60*$O60+BJ60)*EXP(-('1a. Spredningsmodell input'!$B$46)*BF60)</f>
        <v>#VALUE!</v>
      </c>
      <c r="BM60" s="292" t="e">
        <f>((BK60+BL60)*1000000000)/('1a. Spredningsmodell input'!$B$45*1000)</f>
        <v>#VALUE!</v>
      </c>
      <c r="BN60" s="294" t="e">
        <f>0.001*BM60/('1a. Spredningsmodell input'!$C$25+'1a. Spredningsmodell input'!$C$26/Mellomregninger!$K60)</f>
        <v>#VALUE!</v>
      </c>
      <c r="BO60" s="294" t="e">
        <f>1000*BN60/$K60+BL60*1000000000/('1a. Spredningsmodell input'!$B$45*1000)</f>
        <v>#VALUE!</v>
      </c>
      <c r="BP60" s="294" t="e">
        <f t="shared" si="3"/>
        <v>#VALUE!</v>
      </c>
      <c r="BQ60" s="294" t="e">
        <f>BL60*1000000000/('1a. Spredningsmodell input'!$B$45*1000)</f>
        <v>#VALUE!</v>
      </c>
      <c r="BR60" s="295">
        <f t="shared" si="27"/>
        <v>100</v>
      </c>
      <c r="BS60" s="290" t="e">
        <f>($D60-Stoff!$P60*$D60)*EXP(-($F60+Stoff!$L60*365)*BR60)</f>
        <v>#VALUE!</v>
      </c>
      <c r="BT60" s="291" t="e">
        <f>(Stoff!$P60*$D60)*EXP(-'1a. Spredningsmodell input'!$B$43*BR60)</f>
        <v>#VALUE!</v>
      </c>
      <c r="BU60" s="290" t="e">
        <f>($D60-Stoff!$P60*$D60-BS60)*($F60/($F60+Stoff!$L60*365))</f>
        <v>#VALUE!</v>
      </c>
      <c r="BV60" s="290" t="e">
        <f>(Stoff!$P60*$D60)-BT60</f>
        <v>#VALUE!</v>
      </c>
      <c r="BW60" s="290" t="e">
        <f>($O60+BU60)*EXP(-($N60+Stoff!$M60*365)*BR60)</f>
        <v>#VALUE!</v>
      </c>
      <c r="BX60" s="290" t="e">
        <f>(Stoff!$P60*$O60+BV60)*EXP(-('1a. Spredningsmodell input'!$B$46)*BR60)</f>
        <v>#VALUE!</v>
      </c>
      <c r="BY60" s="292" t="e">
        <f>((BW60+BX60)*1000000000)/('1a. Spredningsmodell input'!$B$45*1000)</f>
        <v>#VALUE!</v>
      </c>
      <c r="BZ60" s="294" t="e">
        <f>0.001*BY60/('1a. Spredningsmodell input'!$C$25+'1a. Spredningsmodell input'!$C$26/Mellomregninger!$K60)</f>
        <v>#VALUE!</v>
      </c>
      <c r="CA60" s="294" t="e">
        <f>1000*BZ60/$K60+BX60*1000000000/('1a. Spredningsmodell input'!$B$45*1000)</f>
        <v>#VALUE!</v>
      </c>
      <c r="CB60" s="294" t="e">
        <f t="shared" si="4"/>
        <v>#VALUE!</v>
      </c>
      <c r="CC60" s="294" t="e">
        <f>BX60*1000000000/('1a. Spredningsmodell input'!$B$45*1000)</f>
        <v>#VALUE!</v>
      </c>
      <c r="CD60" s="294" t="e">
        <f>V60+'1a. Spredningsmodell input'!$C$35</f>
        <v>#VALUE!</v>
      </c>
      <c r="CE60" s="294" t="e">
        <f>($S60+$Q60*($O60+$I60*($D60*(1-Stoff!$P60))*(1-EXP(-($F60+Stoff!$L60*365)*CD60)))*(1-EXP(-($N60+Stoff!$M60*365)*CD60)))</f>
        <v>#VALUE!</v>
      </c>
      <c r="CF60" s="294" t="e">
        <f t="shared" si="5"/>
        <v>#VALUE!</v>
      </c>
      <c r="CG60" s="296" t="e">
        <f>(CF60/1000000)*'1a. Spredningsmodell input'!$B$49*'1a. Spredningsmodell input'!$C$35</f>
        <v>#VALUE!</v>
      </c>
      <c r="CH60" s="294" t="e">
        <f t="shared" si="17"/>
        <v>#VALUE!</v>
      </c>
      <c r="CI60" s="290" t="e">
        <f>(CH60/1000000)*'1a. Spredningsmodell input'!$B$49*'1a. Spredningsmodell input'!$C$35</f>
        <v>#VALUE!</v>
      </c>
      <c r="CJ60" s="297" t="e">
        <f>($S60)*EXP(-(Stoff!$N60*365+$U60)*CD60)+CG60</f>
        <v>#VALUE!</v>
      </c>
      <c r="CK60" s="297" t="e">
        <f>(Stoff!$P60*$S60+CI60)*EXP(-$T60*CD60)</f>
        <v>#VALUE!</v>
      </c>
      <c r="CL60" s="297" t="e">
        <f>(CJ60+CK60)*1000000000/('1a. Spredningsmodell input'!$C$36*1000)</f>
        <v>#VALUE!</v>
      </c>
      <c r="CM60" s="297" t="e">
        <f>$G60*(1-EXP(-'1a. Spredningsmodell input'!$B$43*Mellomregninger!CD60))*(1-EXP(-'1a. Spredningsmodell input'!$B$46*Mellomregninger!CD60))</f>
        <v>#VALUE!</v>
      </c>
      <c r="CN60" s="297"/>
      <c r="CO60" s="297"/>
      <c r="CP60" s="290">
        <f>IF(ISNUMBER(AH60),AH60+'1a. Spredningsmodell input'!$C$35,'1a. Spredningsmodell input'!$C$35)</f>
        <v>1</v>
      </c>
      <c r="CQ60" s="294" t="e">
        <f>($S60+$Q60*($O60+$I60*($D60*(1-Stoff!$P60))*(1-EXP(-($F60+Stoff!$L60*365)*CP60)))*(1-EXP(-($N60+Stoff!$M60*365)*CP60)))</f>
        <v>#VALUE!</v>
      </c>
      <c r="CR60" s="294" t="e">
        <f t="shared" si="6"/>
        <v>#VALUE!</v>
      </c>
      <c r="CS60" s="296" t="e">
        <f>(CR60/1000000)*('1a. Spredningsmodell input'!$B$49*'1a. Spredningsmodell input'!$C$35)</f>
        <v>#VALUE!</v>
      </c>
      <c r="CT60" s="294" t="e">
        <f t="shared" si="7"/>
        <v>#VALUE!</v>
      </c>
      <c r="CU60" s="290" t="e">
        <f>(CT60/1000000)*('1a. Spredningsmodell input'!$B$49)*'1a. Spredningsmodell input'!$C$35</f>
        <v>#VALUE!</v>
      </c>
      <c r="CV60" s="297" t="e">
        <f>($S60)*EXP(-(Stoff!$N60*365+$U60)*CP60)+CS60</f>
        <v>#VALUE!</v>
      </c>
      <c r="CW60" s="297" t="e">
        <f>(Stoff!$P60*$S60+CU60)*EXP(-$T60*CP60)</f>
        <v>#VALUE!</v>
      </c>
      <c r="CX60" s="297">
        <f>IF(ISERROR(CV60),0,(CV60+CW60)*1000000000/('1a. Spredningsmodell input'!$C$36*1000))</f>
        <v>0</v>
      </c>
      <c r="CY60" s="297" t="e">
        <f>$G60*(1-EXP(-'1a. Spredningsmodell input'!$B$43*Mellomregninger!CP60))*(1-EXP(-'1a. Spredningsmodell input'!$B$46*Mellomregninger!CP60))</f>
        <v>#VALUE!</v>
      </c>
      <c r="CZ60" s="297"/>
      <c r="DA60" s="297"/>
      <c r="DB60" s="262">
        <f t="shared" si="28"/>
        <v>5</v>
      </c>
      <c r="DC60" s="298" t="e">
        <f>($S60+$Q60*($O60+$I60*($D60*(1-Stoff!$P60))*(1-EXP(-($F60+Stoff!$L60*365)*DB60)))*(1-EXP(-($N60+Stoff!$M60*365)*DB60)))</f>
        <v>#VALUE!</v>
      </c>
      <c r="DD60" s="294" t="e">
        <f t="shared" si="8"/>
        <v>#VALUE!</v>
      </c>
      <c r="DE60" s="296" t="e">
        <f>(DD60/1000000)*('1a. Spredningsmodell input'!$B$49)*'1a. Spredningsmodell input'!$C$35</f>
        <v>#VALUE!</v>
      </c>
      <c r="DF60" s="294" t="e">
        <f t="shared" si="19"/>
        <v>#VALUE!</v>
      </c>
      <c r="DG60" s="290" t="e">
        <f>(DF60/1000000)*('1a. Spredningsmodell input'!$B$49)*'1a. Spredningsmodell input'!$C$35</f>
        <v>#VALUE!</v>
      </c>
      <c r="DH60" s="297" t="e">
        <f>($S60)*EXP(-(Stoff!$N60*365+$U60)*DB60)+DE60</f>
        <v>#VALUE!</v>
      </c>
      <c r="DI60" s="297" t="e">
        <f>(Stoff!$P60*$S60+DG60)*EXP(-$T60*DB60)</f>
        <v>#VALUE!</v>
      </c>
      <c r="DJ60" s="297" t="e">
        <f>(DH60+DI60)*1000000000/('1a. Spredningsmodell input'!$C$36*1000)</f>
        <v>#VALUE!</v>
      </c>
      <c r="DK60" s="297" t="e">
        <f>$G60*(1-EXP(-'1a. Spredningsmodell input'!$B$43*Mellomregninger!DB60))*(1-EXP(-'1a. Spredningsmodell input'!$B$46*Mellomregninger!DB60))</f>
        <v>#VALUE!</v>
      </c>
      <c r="DL60" s="297"/>
      <c r="DM60" s="297"/>
      <c r="DN60" s="262">
        <f t="shared" si="29"/>
        <v>20</v>
      </c>
      <c r="DO60" s="298" t="e">
        <f>($S60+$Q60*($O60+$I60*($D60*(1-Stoff!$P60))*(1-EXP(-($F60+Stoff!$L60*365)*DN60)))*(1-EXP(-($N60+Stoff!$M60*365)*DN60)))</f>
        <v>#VALUE!</v>
      </c>
      <c r="DP60" s="294" t="e">
        <f t="shared" si="21"/>
        <v>#VALUE!</v>
      </c>
      <c r="DQ60" s="296" t="e">
        <f>(DP60/1000000)*('1a. Spredningsmodell input'!$B$49)*'1a. Spredningsmodell input'!$C$35</f>
        <v>#VALUE!</v>
      </c>
      <c r="DR60" s="294" t="e">
        <f t="shared" si="9"/>
        <v>#VALUE!</v>
      </c>
      <c r="DS60" s="290" t="e">
        <f>(DR60/1000000)*('1a. Spredningsmodell input'!$B$49)*'1a. Spredningsmodell input'!$C$35</f>
        <v>#VALUE!</v>
      </c>
      <c r="DT60" s="297" t="e">
        <f>($S60)*EXP(-(Stoff!$N60*365+$U60)*DN60)+DQ60</f>
        <v>#VALUE!</v>
      </c>
      <c r="DU60" s="297" t="e">
        <f>(Stoff!$P60*$S60+DS60)*EXP(-$T60*DN60)</f>
        <v>#VALUE!</v>
      </c>
      <c r="DV60" s="297" t="e">
        <f>(DT60+DU60)*1000000000/('1a. Spredningsmodell input'!$C$36*1000)</f>
        <v>#VALUE!</v>
      </c>
      <c r="DW60" s="297" t="e">
        <f>$G60*(1-EXP(-'1a. Spredningsmodell input'!$B$43*Mellomregninger!DN60))*(1-EXP(-'1a. Spredningsmodell input'!$B$46*Mellomregninger!DN60))</f>
        <v>#VALUE!</v>
      </c>
      <c r="DX60" s="297"/>
      <c r="DY60" s="297"/>
      <c r="DZ60" s="262">
        <f t="shared" si="30"/>
        <v>100</v>
      </c>
      <c r="EA60" s="298" t="e">
        <f>($S60+$Q60*($O60+$I60*($D60*(1-Stoff!$P60))*(1-EXP(-($F60+Stoff!$L60*365)*DZ60)))*(1-EXP(-($N60+Stoff!$M60*365)*DZ60)))</f>
        <v>#VALUE!</v>
      </c>
      <c r="EB60" s="294" t="e">
        <f t="shared" si="10"/>
        <v>#VALUE!</v>
      </c>
      <c r="EC60" s="296" t="e">
        <f>(EB60/1000000)*('1a. Spredningsmodell input'!$B$49)*'1a. Spredningsmodell input'!$C$35</f>
        <v>#VALUE!</v>
      </c>
      <c r="ED60" s="294" t="e">
        <f t="shared" si="11"/>
        <v>#VALUE!</v>
      </c>
      <c r="EE60" s="290" t="e">
        <f>(ED60/1000000)*('1a. Spredningsmodell input'!$B$49)*'1a. Spredningsmodell input'!$C$35</f>
        <v>#VALUE!</v>
      </c>
      <c r="EF60" s="297" t="e">
        <f>($S60)*EXP(-(Stoff!$N60*365+$U60)*DZ60)+EC60</f>
        <v>#VALUE!</v>
      </c>
      <c r="EG60" s="297" t="e">
        <f>(Stoff!$P60*$S60+EE60)*EXP(-$T60*DZ60)</f>
        <v>#VALUE!</v>
      </c>
      <c r="EH60" s="297" t="e">
        <f>(EF60+EG60)*1000000000/('1a. Spredningsmodell input'!$C$36*1000)</f>
        <v>#VALUE!</v>
      </c>
      <c r="EI60" s="297" t="e">
        <f>$G60*(1-EXP(-'1a. Spredningsmodell input'!$B$43*Mellomregninger!DZ60))*(1-EXP(-'1a. Spredningsmodell input'!$B$46*Mellomregninger!DZ60))</f>
        <v>#VALUE!</v>
      </c>
      <c r="EJ60" s="297"/>
      <c r="EK60" s="297"/>
      <c r="EL60" s="262">
        <f t="shared" si="31"/>
        <v>1.0000000000000001E+25</v>
      </c>
      <c r="EM60" s="294" t="e">
        <f>($S60+$Q60*($O60+$I60*($D60*(1-Stoff!$P60))*(1-EXP(-($F60+Stoff!$L60*365)*EL60)))*(1-EXP(-($N60+Stoff!$M60*365)*EL60)))</f>
        <v>#VALUE!</v>
      </c>
      <c r="EN60" s="296" t="e">
        <f>($S60+$Q60*($O60+$I60*($D60*(1-Stoff!$P60))*(1-EXP(-($F60+Stoff!$L60*365)*(EL60-'1a. Spredningsmodell input'!$C$35))))*(1-EXP(-($N60+Stoff!$M60*365)*(EL60-'1a. Spredningsmodell input'!$C$35))))</f>
        <v>#VALUE!</v>
      </c>
      <c r="EO60" s="294" t="e">
        <f>IF(EL60&lt;'1a. Spredningsmodell input'!$C$35,EM60-($S60)*EXP(-(Stoff!$N60*365+$U60)*EL60),EM60-EN60)</f>
        <v>#VALUE!</v>
      </c>
      <c r="EP60" s="290" t="e">
        <f>((($D60*(Stoff!$P60))*(1-EXP(-'1a. Spredningsmodell input'!$B$43*EL60)))*(1-EXP(-'1a. Spredningsmodell input'!$B$46*EL60)))</f>
        <v>#VALUE!</v>
      </c>
      <c r="EQ60" s="294" t="e">
        <f>((($D60*(Stoff!$P60))*(1-EXP(-'1a. Spredningsmodell input'!$B$43*(EL60-'1a. Spredningsmodell input'!$C$35))))*(1-EXP(-'1a. Spredningsmodell input'!$B$46*(EL60-'1a. Spredningsmodell input'!$C$35))))</f>
        <v>#VALUE!</v>
      </c>
      <c r="ER60" s="290" t="e">
        <f>IF(EL60&lt;'1a. Spredningsmodell input'!$C$35,0,EP60-EQ60)</f>
        <v>#VALUE!</v>
      </c>
      <c r="ES60" s="297" t="e">
        <f>($S60)*EXP(-(Stoff!$N60*365+$U60)*EL60)+EO60</f>
        <v>#VALUE!</v>
      </c>
      <c r="ET60" s="297" t="e">
        <f>(Stoff!$P60*$S60+ER60)*EXP(-$T60*EL60)</f>
        <v>#VALUE!</v>
      </c>
      <c r="EU60" s="297" t="e">
        <f>(ES60+ET60)*1000000000/('1a. Spredningsmodell input'!$C$36*1000)</f>
        <v>#VALUE!</v>
      </c>
      <c r="EV60" s="262" t="e">
        <f t="shared" si="32"/>
        <v>#VALUE!</v>
      </c>
      <c r="EW60" s="299" t="e">
        <f t="shared" si="33"/>
        <v>#VALUE!</v>
      </c>
      <c r="EX60" s="262" t="e">
        <f t="shared" si="34"/>
        <v>#VALUE!</v>
      </c>
    </row>
    <row r="61" spans="1:154" x14ac:dyDescent="0.35">
      <c r="A61" s="50" t="s">
        <v>149</v>
      </c>
      <c r="B61" s="34" t="str">
        <f>IF(ISNUMBER('1c. Kons. porevann'!E61),1000*'1c. Kons. porevann'!E61,IF(ISNUMBER('1b. Kons. umettet jord'!E61),1000*'1b. Kons. umettet jord'!E61/C61,""))</f>
        <v/>
      </c>
      <c r="C61" s="244">
        <f>IF(Stoff!B61="uorganisk",Stoff!C61,Stoff!D61*'1a. Spredningsmodell input'!$C$11)</f>
        <v>40</v>
      </c>
      <c r="D61" s="34" t="str">
        <f>IF(ISNUMBER(B61),0.000001*('1b. Kons. umettet jord'!G61*'1a. Spredningsmodell input'!$C$12+B61*0.001*'1a. Spredningsmodell input'!$C$14)*1000*'1a. Spredningsmodell input'!$B$41*'1a. Spredningsmodell input'!$C$18,"")</f>
        <v/>
      </c>
      <c r="E61" s="283">
        <f>C61*'1a. Spredningsmodell input'!$C$12/'1a. Spredningsmodell input'!$C$14+1</f>
        <v>341</v>
      </c>
      <c r="F61" s="284">
        <f>'1a. Spredningsmodell input'!$B$43/E61</f>
        <v>4.3988269794721403E-3</v>
      </c>
      <c r="G61" s="34" t="e">
        <f>Stoff!P61*Mellomregninger!D61</f>
        <v>#VALUE!</v>
      </c>
      <c r="H61" s="283" t="e">
        <f>(D61-G61)*(F61/(F61+Stoff!L61))</f>
        <v>#VALUE!</v>
      </c>
      <c r="I61" s="283">
        <f>F61/(F61+Stoff!L61)</f>
        <v>1</v>
      </c>
      <c r="J61" s="285" t="str">
        <f>IF(B61="","",IF(ISNUMBER('1d. Kons. mettet sone'!E61),'1d. Kons. mettet sone'!E61,IF(ISNUMBER('1e. Kons. grunnvann'!E61),'1e. Kons. grunnvann'!E61*Mellomregninger!K61,0)))</f>
        <v/>
      </c>
      <c r="K61" s="286">
        <f>IF(Stoff!B61="uorganisk",Stoff!C61,Stoff!D61*'1a. Spredningsmodell input'!$C$24)</f>
        <v>4</v>
      </c>
      <c r="L61" s="27" t="e">
        <f>IF(ISNUMBER('1e. Kons. grunnvann'!E61),1000*'1e. Kons. grunnvann'!E61,1000*J61/K61)</f>
        <v>#VALUE!</v>
      </c>
      <c r="M61" s="34">
        <f>K61*'1a. Spredningsmodell input'!$C$25/'1a. Spredningsmodell input'!$C$26+1</f>
        <v>18</v>
      </c>
      <c r="N61" s="284">
        <f>'1a. Spredningsmodell input'!$C$26/M61</f>
        <v>2.2222222222222223E-2</v>
      </c>
      <c r="O61" s="287" t="e">
        <f>0.000000001*(J61*'1a. Spredningsmodell input'!$C$25+L61)*1000*'1a. Spredningsmodell input'!$B$45</f>
        <v>#VALUE!</v>
      </c>
      <c r="P61" s="287" t="e">
        <f>O61*Stoff!P61</f>
        <v>#VALUE!</v>
      </c>
      <c r="Q61" s="287">
        <f>N61/(N61+Stoff!M61)</f>
        <v>1</v>
      </c>
      <c r="R61" s="288">
        <f>IF(ISNUMBER('1f. Kons. resipient'!E61),'1f. Kons. resipient'!E61,0)</f>
        <v>0</v>
      </c>
      <c r="S61" s="288">
        <f>0.000000001*'1a. Spredningsmodell input'!$C$36*R61*1000</f>
        <v>0</v>
      </c>
      <c r="T61" s="288">
        <f>1/'1a. Spredningsmodell input'!$C$35</f>
        <v>1</v>
      </c>
      <c r="U61" s="288">
        <f>1/'1a. Spredningsmodell input'!$C$35</f>
        <v>1</v>
      </c>
      <c r="V61" s="300" t="e">
        <f>(1/($N61+Stoff!$L61))*(LN(($D61*$I61/($D61*$I61+$J61))*($F61+Stoff!$L61+$N61+Stoff!$M61)/($N61+Stoff!$M61)))</f>
        <v>#VALUE!</v>
      </c>
      <c r="W61" s="290" t="e">
        <f>($D61-Stoff!$P61*$D61)*EXP(-($F61+Stoff!$L61*365)*V61)</f>
        <v>#VALUE!</v>
      </c>
      <c r="X61" s="291" t="e">
        <f>(Stoff!$P61*$D61)*EXP(-'1a. Spredningsmodell input'!$B$43*V61)</f>
        <v>#VALUE!</v>
      </c>
      <c r="Y61" s="290" t="e">
        <f>($D61-Stoff!$P61*$D61-W61)*($F61/($F61+Stoff!$L61*365))</f>
        <v>#VALUE!</v>
      </c>
      <c r="Z61" s="290" t="e">
        <f>(Stoff!$P61*$D61)-X61</f>
        <v>#VALUE!</v>
      </c>
      <c r="AA61" s="290" t="e">
        <f>($O61+Y61)*EXP(-($N61+Stoff!$M61*365)*V61)</f>
        <v>#VALUE!</v>
      </c>
      <c r="AB61" s="290" t="e">
        <f>(Stoff!$P61*$O61+Z61)*EXP(-('1a. Spredningsmodell input'!$B$46)*V61)</f>
        <v>#VALUE!</v>
      </c>
      <c r="AC61" s="292" t="e">
        <f>((AA61+AB61)*1000000000)/('1a. Spredningsmodell input'!$B$45*1000)</f>
        <v>#VALUE!</v>
      </c>
      <c r="AD61" s="294" t="e">
        <f>0.001*AC61/('1a. Spredningsmodell input'!$C$25+'1a. Spredningsmodell input'!$C$26/Mellomregninger!$K61)</f>
        <v>#VALUE!</v>
      </c>
      <c r="AE61" s="294" t="e">
        <f>1000*AD61/$K61+AB61*1000000000/('1a. Spredningsmodell input'!$B$45*1000)</f>
        <v>#VALUE!</v>
      </c>
      <c r="AF61" s="294" t="e">
        <f t="shared" si="0"/>
        <v>#VALUE!</v>
      </c>
      <c r="AG61" s="294" t="e">
        <f>AB61*1000000000/('1a. Spredningsmodell input'!$B$45*1000)</f>
        <v>#VALUE!</v>
      </c>
      <c r="AH61" s="300" t="e">
        <f>(1/('1a. Spredningsmodell input'!$B$46))*(LN(($D61*Stoff!$P61/($D61*Stoff!$P61+$P61*Stoff!$P61))*('1a. Spredningsmodell input'!$B$43+'1a. Spredningsmodell input'!$B$46)/('1a. Spredningsmodell input'!$B$46)))</f>
        <v>#VALUE!</v>
      </c>
      <c r="AI61" s="290" t="e">
        <f>($D61-Stoff!$P61*$D61)*EXP(-($F61+Stoff!$L61*365)*AH61)</f>
        <v>#VALUE!</v>
      </c>
      <c r="AJ61" s="291" t="e">
        <f>(Stoff!$P61*$D61)*EXP(-'1a. Spredningsmodell input'!$B$43*AH61)</f>
        <v>#VALUE!</v>
      </c>
      <c r="AK61" s="290" t="e">
        <f>($D61-Stoff!$P61*$D61-AI61)*($F61/($F61+Stoff!$L61*365))</f>
        <v>#VALUE!</v>
      </c>
      <c r="AL61" s="290" t="e">
        <f>(Stoff!$P61*$D61)-AJ61</f>
        <v>#VALUE!</v>
      </c>
      <c r="AM61" s="290" t="e">
        <f>($O61+AK61)*EXP(-($N61+Stoff!$M61*365)*AH61)</f>
        <v>#VALUE!</v>
      </c>
      <c r="AN61" s="290" t="e">
        <f>(Stoff!$P61*$O61+AL61)*EXP(-('1a. Spredningsmodell input'!$B$46)*AH61)</f>
        <v>#VALUE!</v>
      </c>
      <c r="AO61" s="292" t="e">
        <f>((AM61+AN61)*1000000000)/('1a. Spredningsmodell input'!$B$45*1000)</f>
        <v>#VALUE!</v>
      </c>
      <c r="AP61" s="294" t="e">
        <f>0.001*AO61/('1a. Spredningsmodell input'!$C$25+'1a. Spredningsmodell input'!$C$26/Mellomregninger!$K61)</f>
        <v>#VALUE!</v>
      </c>
      <c r="AQ61" s="294" t="e">
        <f>1000*AP61/$K61+AN61*1000000000/('1a. Spredningsmodell input'!$B$45*1000)</f>
        <v>#VALUE!</v>
      </c>
      <c r="AR61" s="294" t="e">
        <f t="shared" si="1"/>
        <v>#VALUE!</v>
      </c>
      <c r="AS61" s="294" t="e">
        <f>AN61*1000000000/('1a. Spredningsmodell input'!$B$45*1000)</f>
        <v>#VALUE!</v>
      </c>
      <c r="AT61" s="295">
        <f t="shared" si="25"/>
        <v>5</v>
      </c>
      <c r="AU61" s="290" t="e">
        <f>($D61-Stoff!$P61*$D61)*EXP(-($F61+Stoff!$L61*365)*AT61)</f>
        <v>#VALUE!</v>
      </c>
      <c r="AV61" s="291" t="e">
        <f>(Stoff!$P61*$D61)*EXP(-'1a. Spredningsmodell input'!$B$43*AT61)</f>
        <v>#VALUE!</v>
      </c>
      <c r="AW61" s="290" t="e">
        <f>($D61-Stoff!$P61*$D61-AU61)*($F61/($F61+Stoff!$L61*365))</f>
        <v>#VALUE!</v>
      </c>
      <c r="AX61" s="290" t="e">
        <f>(Stoff!$P61*$D61)-AV61</f>
        <v>#VALUE!</v>
      </c>
      <c r="AY61" s="290" t="e">
        <f>($O61+AW61)*EXP(-($N61+Stoff!$M61*365)*AT61)</f>
        <v>#VALUE!</v>
      </c>
      <c r="AZ61" s="290" t="e">
        <f>(Stoff!$P61*$O61+AX61)*EXP(-('1a. Spredningsmodell input'!$B$46)*AT61)</f>
        <v>#VALUE!</v>
      </c>
      <c r="BA61" s="292" t="e">
        <f>((AY61+AZ61)*1000000000)/('1a. Spredningsmodell input'!$B$45*1000)</f>
        <v>#VALUE!</v>
      </c>
      <c r="BB61" s="294" t="e">
        <f>0.001*BA61/('1a. Spredningsmodell input'!$C$25+'1a. Spredningsmodell input'!$C$26/Mellomregninger!$K61)</f>
        <v>#VALUE!</v>
      </c>
      <c r="BC61" s="294" t="e">
        <f>1000*BB61/$K61+AZ61*1000000000/('1a. Spredningsmodell input'!$B$45*1000)</f>
        <v>#VALUE!</v>
      </c>
      <c r="BD61" s="294" t="e">
        <f t="shared" si="2"/>
        <v>#VALUE!</v>
      </c>
      <c r="BE61" s="294" t="e">
        <f>AZ61*1000000000/('1a. Spredningsmodell input'!$B$45*1000)</f>
        <v>#VALUE!</v>
      </c>
      <c r="BF61" s="295">
        <f t="shared" si="26"/>
        <v>20</v>
      </c>
      <c r="BG61" s="290" t="e">
        <f>($D61-Stoff!$P61*$D61)*EXP(-($F61+Stoff!$L61*365)*BF61)</f>
        <v>#VALUE!</v>
      </c>
      <c r="BH61" s="291" t="e">
        <f>(Stoff!$P61*$D61)*EXP(-'1a. Spredningsmodell input'!$B$43*BF61)</f>
        <v>#VALUE!</v>
      </c>
      <c r="BI61" s="290" t="e">
        <f>($D61-Stoff!$P61*$D61-BG61)*($F61/($F61+Stoff!$L61*365))</f>
        <v>#VALUE!</v>
      </c>
      <c r="BJ61" s="290" t="e">
        <f>(Stoff!$P61*$D61)-BH61</f>
        <v>#VALUE!</v>
      </c>
      <c r="BK61" s="290" t="e">
        <f>($O61+BI61)*EXP(-($N61+Stoff!$M61*365)*BF61)</f>
        <v>#VALUE!</v>
      </c>
      <c r="BL61" s="290" t="e">
        <f>(Stoff!$P61*$O61+BJ61)*EXP(-('1a. Spredningsmodell input'!$B$46)*BF61)</f>
        <v>#VALUE!</v>
      </c>
      <c r="BM61" s="292" t="e">
        <f>((BK61+BL61)*1000000000)/('1a. Spredningsmodell input'!$B$45*1000)</f>
        <v>#VALUE!</v>
      </c>
      <c r="BN61" s="294" t="e">
        <f>0.001*BM61/('1a. Spredningsmodell input'!$C$25+'1a. Spredningsmodell input'!$C$26/Mellomregninger!$K61)</f>
        <v>#VALUE!</v>
      </c>
      <c r="BO61" s="294" t="e">
        <f>1000*BN61/$K61+BL61*1000000000/('1a. Spredningsmodell input'!$B$45*1000)</f>
        <v>#VALUE!</v>
      </c>
      <c r="BP61" s="294" t="e">
        <f t="shared" si="3"/>
        <v>#VALUE!</v>
      </c>
      <c r="BQ61" s="294" t="e">
        <f>BL61*1000000000/('1a. Spredningsmodell input'!$B$45*1000)</f>
        <v>#VALUE!</v>
      </c>
      <c r="BR61" s="295">
        <f t="shared" si="27"/>
        <v>100</v>
      </c>
      <c r="BS61" s="290" t="e">
        <f>($D61-Stoff!$P61*$D61)*EXP(-($F61+Stoff!$L61*365)*BR61)</f>
        <v>#VALUE!</v>
      </c>
      <c r="BT61" s="291" t="e">
        <f>(Stoff!$P61*$D61)*EXP(-'1a. Spredningsmodell input'!$B$43*BR61)</f>
        <v>#VALUE!</v>
      </c>
      <c r="BU61" s="290" t="e">
        <f>($D61-Stoff!$P61*$D61-BS61)*($F61/($F61+Stoff!$L61*365))</f>
        <v>#VALUE!</v>
      </c>
      <c r="BV61" s="290" t="e">
        <f>(Stoff!$P61*$D61)-BT61</f>
        <v>#VALUE!</v>
      </c>
      <c r="BW61" s="290" t="e">
        <f>($O61+BU61)*EXP(-($N61+Stoff!$M61*365)*BR61)</f>
        <v>#VALUE!</v>
      </c>
      <c r="BX61" s="290" t="e">
        <f>(Stoff!$P61*$O61+BV61)*EXP(-('1a. Spredningsmodell input'!$B$46)*BR61)</f>
        <v>#VALUE!</v>
      </c>
      <c r="BY61" s="292" t="e">
        <f>((BW61+BX61)*1000000000)/('1a. Spredningsmodell input'!$B$45*1000)</f>
        <v>#VALUE!</v>
      </c>
      <c r="BZ61" s="294" t="e">
        <f>0.001*BY61/('1a. Spredningsmodell input'!$C$25+'1a. Spredningsmodell input'!$C$26/Mellomregninger!$K61)</f>
        <v>#VALUE!</v>
      </c>
      <c r="CA61" s="294" t="e">
        <f>1000*BZ61/$K61+BX61*1000000000/('1a. Spredningsmodell input'!$B$45*1000)</f>
        <v>#VALUE!</v>
      </c>
      <c r="CB61" s="294" t="e">
        <f t="shared" si="4"/>
        <v>#VALUE!</v>
      </c>
      <c r="CC61" s="294" t="e">
        <f>BX61*1000000000/('1a. Spredningsmodell input'!$B$45*1000)</f>
        <v>#VALUE!</v>
      </c>
      <c r="CD61" s="294" t="e">
        <f>V61+'1a. Spredningsmodell input'!$C$35</f>
        <v>#VALUE!</v>
      </c>
      <c r="CE61" s="294" t="e">
        <f>($S61+$Q61*($O61+$I61*($D61*(1-Stoff!$P61))*(1-EXP(-($F61+Stoff!$L61*365)*CD61)))*(1-EXP(-($N61+Stoff!$M61*365)*CD61)))</f>
        <v>#VALUE!</v>
      </c>
      <c r="CF61" s="294" t="e">
        <f t="shared" si="5"/>
        <v>#VALUE!</v>
      </c>
      <c r="CG61" s="296" t="e">
        <f>(CF61/1000000)*'1a. Spredningsmodell input'!$B$49*'1a. Spredningsmodell input'!$C$35</f>
        <v>#VALUE!</v>
      </c>
      <c r="CH61" s="294" t="e">
        <f t="shared" si="17"/>
        <v>#VALUE!</v>
      </c>
      <c r="CI61" s="290" t="e">
        <f>(CH61/1000000)*'1a. Spredningsmodell input'!$B$49*'1a. Spredningsmodell input'!$C$35</f>
        <v>#VALUE!</v>
      </c>
      <c r="CJ61" s="297" t="e">
        <f>($S61)*EXP(-(Stoff!$N61*365+$U61)*CD61)+CG61</f>
        <v>#VALUE!</v>
      </c>
      <c r="CK61" s="297" t="e">
        <f>(Stoff!$P61*$S61+CI61)*EXP(-$T61*CD61)</f>
        <v>#VALUE!</v>
      </c>
      <c r="CL61" s="297" t="e">
        <f>(CJ61+CK61)*1000000000/('1a. Spredningsmodell input'!$C$36*1000)</f>
        <v>#VALUE!</v>
      </c>
      <c r="CM61" s="297" t="e">
        <f>$G61*(1-EXP(-'1a. Spredningsmodell input'!$B$43*Mellomregninger!CD61))*(1-EXP(-'1a. Spredningsmodell input'!$B$46*Mellomregninger!CD61))</f>
        <v>#VALUE!</v>
      </c>
      <c r="CN61" s="297"/>
      <c r="CO61" s="297"/>
      <c r="CP61" s="290">
        <f>IF(ISNUMBER(AH61),AH61+'1a. Spredningsmodell input'!$C$35,'1a. Spredningsmodell input'!$C$35)</f>
        <v>1</v>
      </c>
      <c r="CQ61" s="294" t="e">
        <f>($S61+$Q61*($O61+$I61*($D61*(1-Stoff!$P61))*(1-EXP(-($F61+Stoff!$L61*365)*CP61)))*(1-EXP(-($N61+Stoff!$M61*365)*CP61)))</f>
        <v>#VALUE!</v>
      </c>
      <c r="CR61" s="294" t="e">
        <f t="shared" si="6"/>
        <v>#VALUE!</v>
      </c>
      <c r="CS61" s="296" t="e">
        <f>(CR61/1000000)*('1a. Spredningsmodell input'!$B$49*'1a. Spredningsmodell input'!$C$35)</f>
        <v>#VALUE!</v>
      </c>
      <c r="CT61" s="294" t="e">
        <f t="shared" si="7"/>
        <v>#VALUE!</v>
      </c>
      <c r="CU61" s="290" t="e">
        <f>(CT61/1000000)*('1a. Spredningsmodell input'!$B$49)*'1a. Spredningsmodell input'!$C$35</f>
        <v>#VALUE!</v>
      </c>
      <c r="CV61" s="297" t="e">
        <f>($S61)*EXP(-(Stoff!$N61*365+$U61)*CP61)+CS61</f>
        <v>#VALUE!</v>
      </c>
      <c r="CW61" s="297" t="e">
        <f>(Stoff!$P61*$S61+CU61)*EXP(-$T61*CP61)</f>
        <v>#VALUE!</v>
      </c>
      <c r="CX61" s="297">
        <f>IF(ISERROR(CV61),0,(CV61+CW61)*1000000000/('1a. Spredningsmodell input'!$C$36*1000))</f>
        <v>0</v>
      </c>
      <c r="CY61" s="297" t="e">
        <f>$G61*(1-EXP(-'1a. Spredningsmodell input'!$B$43*Mellomregninger!CP61))*(1-EXP(-'1a. Spredningsmodell input'!$B$46*Mellomregninger!CP61))</f>
        <v>#VALUE!</v>
      </c>
      <c r="CZ61" s="297"/>
      <c r="DA61" s="297"/>
      <c r="DB61" s="262">
        <f t="shared" si="28"/>
        <v>5</v>
      </c>
      <c r="DC61" s="298" t="e">
        <f>($S61+$Q61*($O61+$I61*($D61*(1-Stoff!$P61))*(1-EXP(-($F61+Stoff!$L61*365)*DB61)))*(1-EXP(-($N61+Stoff!$M61*365)*DB61)))</f>
        <v>#VALUE!</v>
      </c>
      <c r="DD61" s="294" t="e">
        <f t="shared" si="8"/>
        <v>#VALUE!</v>
      </c>
      <c r="DE61" s="296" t="e">
        <f>(DD61/1000000)*('1a. Spredningsmodell input'!$B$49)*'1a. Spredningsmodell input'!$C$35</f>
        <v>#VALUE!</v>
      </c>
      <c r="DF61" s="294" t="e">
        <f t="shared" si="19"/>
        <v>#VALUE!</v>
      </c>
      <c r="DG61" s="290" t="e">
        <f>(DF61/1000000)*('1a. Spredningsmodell input'!$B$49)*'1a. Spredningsmodell input'!$C$35</f>
        <v>#VALUE!</v>
      </c>
      <c r="DH61" s="297" t="e">
        <f>($S61)*EXP(-(Stoff!$N61*365+$U61)*DB61)+DE61</f>
        <v>#VALUE!</v>
      </c>
      <c r="DI61" s="297" t="e">
        <f>(Stoff!$P61*$S61+DG61)*EXP(-$T61*DB61)</f>
        <v>#VALUE!</v>
      </c>
      <c r="DJ61" s="297" t="e">
        <f>(DH61+DI61)*1000000000/('1a. Spredningsmodell input'!$C$36*1000)</f>
        <v>#VALUE!</v>
      </c>
      <c r="DK61" s="297" t="e">
        <f>$G61*(1-EXP(-'1a. Spredningsmodell input'!$B$43*Mellomregninger!DB61))*(1-EXP(-'1a. Spredningsmodell input'!$B$46*Mellomregninger!DB61))</f>
        <v>#VALUE!</v>
      </c>
      <c r="DL61" s="297"/>
      <c r="DM61" s="297"/>
      <c r="DN61" s="262">
        <f t="shared" si="29"/>
        <v>20</v>
      </c>
      <c r="DO61" s="298" t="e">
        <f>($S61+$Q61*($O61+$I61*($D61*(1-Stoff!$P61))*(1-EXP(-($F61+Stoff!$L61*365)*DN61)))*(1-EXP(-($N61+Stoff!$M61*365)*DN61)))</f>
        <v>#VALUE!</v>
      </c>
      <c r="DP61" s="294" t="e">
        <f t="shared" si="21"/>
        <v>#VALUE!</v>
      </c>
      <c r="DQ61" s="296" t="e">
        <f>(DP61/1000000)*('1a. Spredningsmodell input'!$B$49)*'1a. Spredningsmodell input'!$C$35</f>
        <v>#VALUE!</v>
      </c>
      <c r="DR61" s="294" t="e">
        <f t="shared" si="9"/>
        <v>#VALUE!</v>
      </c>
      <c r="DS61" s="290" t="e">
        <f>(DR61/1000000)*('1a. Spredningsmodell input'!$B$49)*'1a. Spredningsmodell input'!$C$35</f>
        <v>#VALUE!</v>
      </c>
      <c r="DT61" s="297" t="e">
        <f>($S61)*EXP(-(Stoff!$N61*365+$U61)*DN61)+DQ61</f>
        <v>#VALUE!</v>
      </c>
      <c r="DU61" s="297" t="e">
        <f>(Stoff!$P61*$S61+DS61)*EXP(-$T61*DN61)</f>
        <v>#VALUE!</v>
      </c>
      <c r="DV61" s="297" t="e">
        <f>(DT61+DU61)*1000000000/('1a. Spredningsmodell input'!$C$36*1000)</f>
        <v>#VALUE!</v>
      </c>
      <c r="DW61" s="297" t="e">
        <f>$G61*(1-EXP(-'1a. Spredningsmodell input'!$B$43*Mellomregninger!DN61))*(1-EXP(-'1a. Spredningsmodell input'!$B$46*Mellomregninger!DN61))</f>
        <v>#VALUE!</v>
      </c>
      <c r="DX61" s="297"/>
      <c r="DY61" s="297"/>
      <c r="DZ61" s="262">
        <f t="shared" si="30"/>
        <v>100</v>
      </c>
      <c r="EA61" s="298" t="e">
        <f>($S61+$Q61*($O61+$I61*($D61*(1-Stoff!$P61))*(1-EXP(-($F61+Stoff!$L61*365)*DZ61)))*(1-EXP(-($N61+Stoff!$M61*365)*DZ61)))</f>
        <v>#VALUE!</v>
      </c>
      <c r="EB61" s="294" t="e">
        <f t="shared" si="10"/>
        <v>#VALUE!</v>
      </c>
      <c r="EC61" s="296" t="e">
        <f>(EB61/1000000)*('1a. Spredningsmodell input'!$B$49)*'1a. Spredningsmodell input'!$C$35</f>
        <v>#VALUE!</v>
      </c>
      <c r="ED61" s="294" t="e">
        <f t="shared" si="11"/>
        <v>#VALUE!</v>
      </c>
      <c r="EE61" s="290" t="e">
        <f>(ED61/1000000)*('1a. Spredningsmodell input'!$B$49)*'1a. Spredningsmodell input'!$C$35</f>
        <v>#VALUE!</v>
      </c>
      <c r="EF61" s="297" t="e">
        <f>($S61)*EXP(-(Stoff!$N61*365+$U61)*DZ61)+EC61</f>
        <v>#VALUE!</v>
      </c>
      <c r="EG61" s="297" t="e">
        <f>(Stoff!$P61*$S61+EE61)*EXP(-$T61*DZ61)</f>
        <v>#VALUE!</v>
      </c>
      <c r="EH61" s="297" t="e">
        <f>(EF61+EG61)*1000000000/('1a. Spredningsmodell input'!$C$36*1000)</f>
        <v>#VALUE!</v>
      </c>
      <c r="EI61" s="297" t="e">
        <f>$G61*(1-EXP(-'1a. Spredningsmodell input'!$B$43*Mellomregninger!DZ61))*(1-EXP(-'1a. Spredningsmodell input'!$B$46*Mellomregninger!DZ61))</f>
        <v>#VALUE!</v>
      </c>
      <c r="EJ61" s="297"/>
      <c r="EK61" s="297"/>
      <c r="EL61" s="262">
        <f t="shared" si="31"/>
        <v>1.0000000000000001E+25</v>
      </c>
      <c r="EM61" s="294" t="e">
        <f>($S61+$Q61*($O61+$I61*($D61*(1-Stoff!$P61))*(1-EXP(-($F61+Stoff!$L61*365)*EL61)))*(1-EXP(-($N61+Stoff!$M61*365)*EL61)))</f>
        <v>#VALUE!</v>
      </c>
      <c r="EN61" s="296" t="e">
        <f>($S61+$Q61*($O61+$I61*($D61*(1-Stoff!$P61))*(1-EXP(-($F61+Stoff!$L61*365)*(EL61-'1a. Spredningsmodell input'!$C$35))))*(1-EXP(-($N61+Stoff!$M61*365)*(EL61-'1a. Spredningsmodell input'!$C$35))))</f>
        <v>#VALUE!</v>
      </c>
      <c r="EO61" s="294" t="e">
        <f>IF(EL61&lt;'1a. Spredningsmodell input'!$C$35,EM61-($S61)*EXP(-(Stoff!$N61*365+$U61)*EL61),EM61-EN61)</f>
        <v>#VALUE!</v>
      </c>
      <c r="EP61" s="290" t="e">
        <f>((($D61*(Stoff!$P61))*(1-EXP(-'1a. Spredningsmodell input'!$B$43*EL61)))*(1-EXP(-'1a. Spredningsmodell input'!$B$46*EL61)))</f>
        <v>#VALUE!</v>
      </c>
      <c r="EQ61" s="294" t="e">
        <f>((($D61*(Stoff!$P61))*(1-EXP(-'1a. Spredningsmodell input'!$B$43*(EL61-'1a. Spredningsmodell input'!$C$35))))*(1-EXP(-'1a. Spredningsmodell input'!$B$46*(EL61-'1a. Spredningsmodell input'!$C$35))))</f>
        <v>#VALUE!</v>
      </c>
      <c r="ER61" s="290" t="e">
        <f>IF(EL61&lt;'1a. Spredningsmodell input'!$C$35,0,EP61-EQ61)</f>
        <v>#VALUE!</v>
      </c>
      <c r="ES61" s="297" t="e">
        <f>($S61)*EXP(-(Stoff!$N61*365+$U61)*EL61)+EO61</f>
        <v>#VALUE!</v>
      </c>
      <c r="ET61" s="297" t="e">
        <f>(Stoff!$P61*$S61+ER61)*EXP(-$T61*EL61)</f>
        <v>#VALUE!</v>
      </c>
      <c r="EU61" s="297" t="e">
        <f>(ES61+ET61)*1000000000/('1a. Spredningsmodell input'!$C$36*1000)</f>
        <v>#VALUE!</v>
      </c>
      <c r="EV61" s="262" t="e">
        <f t="shared" si="32"/>
        <v>#VALUE!</v>
      </c>
      <c r="EW61" s="299" t="e">
        <f t="shared" si="33"/>
        <v>#VALUE!</v>
      </c>
      <c r="EX61" s="262" t="e">
        <f t="shared" si="34"/>
        <v>#VALUE!</v>
      </c>
    </row>
    <row r="62" spans="1:154" x14ac:dyDescent="0.35">
      <c r="A62" s="50" t="s">
        <v>148</v>
      </c>
      <c r="B62" s="34" t="str">
        <f>IF(ISNUMBER('1c. Kons. porevann'!E62),1000*'1c. Kons. porevann'!E62,IF(ISNUMBER('1b. Kons. umettet jord'!E62),1000*'1b. Kons. umettet jord'!E62/C62,""))</f>
        <v/>
      </c>
      <c r="C62" s="244">
        <f>IF(Stoff!B62="uorganisk",Stoff!C62,Stoff!D62*'1a. Spredningsmodell input'!$C$11)</f>
        <v>320</v>
      </c>
      <c r="D62" s="34" t="str">
        <f>IF(ISNUMBER(B62),0.000001*('1b. Kons. umettet jord'!G62*'1a. Spredningsmodell input'!$C$12+B62*0.001*'1a. Spredningsmodell input'!$C$14)*1000*'1a. Spredningsmodell input'!$B$41*'1a. Spredningsmodell input'!$C$18,"")</f>
        <v/>
      </c>
      <c r="E62" s="283">
        <f>C62*'1a. Spredningsmodell input'!$C$12/'1a. Spredningsmodell input'!$C$14+1</f>
        <v>2721</v>
      </c>
      <c r="F62" s="284">
        <f>'1a. Spredningsmodell input'!$B$43/E62</f>
        <v>5.5126791620727664E-4</v>
      </c>
      <c r="G62" s="34" t="e">
        <f>Stoff!P62*Mellomregninger!D62</f>
        <v>#VALUE!</v>
      </c>
      <c r="H62" s="283" t="e">
        <f>(D62-G62)*(F62/(F62+Stoff!L62))</f>
        <v>#VALUE!</v>
      </c>
      <c r="I62" s="283">
        <f>F62/(F62+Stoff!L62)</f>
        <v>1</v>
      </c>
      <c r="J62" s="285" t="str">
        <f>IF(B62="","",IF(ISNUMBER('1d. Kons. mettet sone'!E62),'1d. Kons. mettet sone'!E62,IF(ISNUMBER('1e. Kons. grunnvann'!E62),'1e. Kons. grunnvann'!E62*Mellomregninger!K62,0)))</f>
        <v/>
      </c>
      <c r="K62" s="286">
        <f>IF(Stoff!B62="uorganisk",Stoff!C62,Stoff!D62*'1a. Spredningsmodell input'!$C$24)</f>
        <v>32</v>
      </c>
      <c r="L62" s="27" t="e">
        <f>IF(ISNUMBER('1e. Kons. grunnvann'!E62),1000*'1e. Kons. grunnvann'!E62,1000*J62/K62)</f>
        <v>#VALUE!</v>
      </c>
      <c r="M62" s="34">
        <f>K62*'1a. Spredningsmodell input'!$C$25/'1a. Spredningsmodell input'!$C$26+1</f>
        <v>137</v>
      </c>
      <c r="N62" s="284">
        <f>'1a. Spredningsmodell input'!$C$26/M62</f>
        <v>2.9197080291970805E-3</v>
      </c>
      <c r="O62" s="287" t="e">
        <f>0.000000001*(J62*'1a. Spredningsmodell input'!$C$25+L62)*1000*'1a. Spredningsmodell input'!$B$45</f>
        <v>#VALUE!</v>
      </c>
      <c r="P62" s="287" t="e">
        <f>O62*Stoff!P62</f>
        <v>#VALUE!</v>
      </c>
      <c r="Q62" s="287">
        <f>N62/(N62+Stoff!M62)</f>
        <v>1</v>
      </c>
      <c r="R62" s="288">
        <f>IF(ISNUMBER('1f. Kons. resipient'!E62),'1f. Kons. resipient'!E62,0)</f>
        <v>0</v>
      </c>
      <c r="S62" s="288">
        <f>0.000000001*'1a. Spredningsmodell input'!$C$36*R62*1000</f>
        <v>0</v>
      </c>
      <c r="T62" s="288">
        <f>1/'1a. Spredningsmodell input'!$C$35</f>
        <v>1</v>
      </c>
      <c r="U62" s="288">
        <f>1/'1a. Spredningsmodell input'!$C$35</f>
        <v>1</v>
      </c>
      <c r="V62" s="300" t="e">
        <f>(1/($N62+Stoff!$L62))*(LN(($D62*$I62/($D62*$I62+$J62))*($F62+Stoff!$L62+$N62+Stoff!$M62)/($N62+Stoff!$M62)))</f>
        <v>#VALUE!</v>
      </c>
      <c r="W62" s="290" t="e">
        <f>($D62-Stoff!$P62*$D62)*EXP(-($F62+Stoff!$L62*365)*V62)</f>
        <v>#VALUE!</v>
      </c>
      <c r="X62" s="291" t="e">
        <f>(Stoff!$P62*$D62)*EXP(-'1a. Spredningsmodell input'!$B$43*V62)</f>
        <v>#VALUE!</v>
      </c>
      <c r="Y62" s="290" t="e">
        <f>($D62-Stoff!$P62*$D62-W62)*($F62/($F62+Stoff!$L62*365))</f>
        <v>#VALUE!</v>
      </c>
      <c r="Z62" s="290" t="e">
        <f>(Stoff!$P62*$D62)-X62</f>
        <v>#VALUE!</v>
      </c>
      <c r="AA62" s="290" t="e">
        <f>($O62+Y62)*EXP(-($N62+Stoff!$M62*365)*V62)</f>
        <v>#VALUE!</v>
      </c>
      <c r="AB62" s="290" t="e">
        <f>(Stoff!$P62*$O62+Z62)*EXP(-('1a. Spredningsmodell input'!$B$46)*V62)</f>
        <v>#VALUE!</v>
      </c>
      <c r="AC62" s="292" t="e">
        <f>((AA62+AB62)*1000000000)/('1a. Spredningsmodell input'!$B$45*1000)</f>
        <v>#VALUE!</v>
      </c>
      <c r="AD62" s="294" t="e">
        <f>0.001*AC62/('1a. Spredningsmodell input'!$C$25+'1a. Spredningsmodell input'!$C$26/Mellomregninger!$K62)</f>
        <v>#VALUE!</v>
      </c>
      <c r="AE62" s="294" t="e">
        <f>1000*AD62/$K62+AB62*1000000000/('1a. Spredningsmodell input'!$B$45*1000)</f>
        <v>#VALUE!</v>
      </c>
      <c r="AF62" s="294" t="e">
        <f t="shared" si="0"/>
        <v>#VALUE!</v>
      </c>
      <c r="AG62" s="294" t="e">
        <f>AB62*1000000000/('1a. Spredningsmodell input'!$B$45*1000)</f>
        <v>#VALUE!</v>
      </c>
      <c r="AH62" s="300" t="e">
        <f>(1/('1a. Spredningsmodell input'!$B$46))*(LN(($D62*Stoff!$P62/($D62*Stoff!$P62+$P62*Stoff!$P62))*('1a. Spredningsmodell input'!$B$43+'1a. Spredningsmodell input'!$B$46)/('1a. Spredningsmodell input'!$B$46)))</f>
        <v>#VALUE!</v>
      </c>
      <c r="AI62" s="290" t="e">
        <f>($D62-Stoff!$P62*$D62)*EXP(-($F62+Stoff!$L62*365)*AH62)</f>
        <v>#VALUE!</v>
      </c>
      <c r="AJ62" s="291" t="e">
        <f>(Stoff!$P62*$D62)*EXP(-'1a. Spredningsmodell input'!$B$43*AH62)</f>
        <v>#VALUE!</v>
      </c>
      <c r="AK62" s="290" t="e">
        <f>($D62-Stoff!$P62*$D62-AI62)*($F62/($F62+Stoff!$L62*365))</f>
        <v>#VALUE!</v>
      </c>
      <c r="AL62" s="290" t="e">
        <f>(Stoff!$P62*$D62)-AJ62</f>
        <v>#VALUE!</v>
      </c>
      <c r="AM62" s="290" t="e">
        <f>($O62+AK62)*EXP(-($N62+Stoff!$M62*365)*AH62)</f>
        <v>#VALUE!</v>
      </c>
      <c r="AN62" s="290" t="e">
        <f>(Stoff!$P62*$O62+AL62)*EXP(-('1a. Spredningsmodell input'!$B$46)*AH62)</f>
        <v>#VALUE!</v>
      </c>
      <c r="AO62" s="292" t="e">
        <f>((AM62+AN62)*1000000000)/('1a. Spredningsmodell input'!$B$45*1000)</f>
        <v>#VALUE!</v>
      </c>
      <c r="AP62" s="294" t="e">
        <f>0.001*AO62/('1a. Spredningsmodell input'!$C$25+'1a. Spredningsmodell input'!$C$26/Mellomregninger!$K62)</f>
        <v>#VALUE!</v>
      </c>
      <c r="AQ62" s="294" t="e">
        <f>1000*AP62/$K62+AN62*1000000000/('1a. Spredningsmodell input'!$B$45*1000)</f>
        <v>#VALUE!</v>
      </c>
      <c r="AR62" s="294" t="e">
        <f t="shared" si="1"/>
        <v>#VALUE!</v>
      </c>
      <c r="AS62" s="294" t="e">
        <f>AN62*1000000000/('1a. Spredningsmodell input'!$B$45*1000)</f>
        <v>#VALUE!</v>
      </c>
      <c r="AT62" s="295">
        <f t="shared" si="25"/>
        <v>5</v>
      </c>
      <c r="AU62" s="290" t="e">
        <f>($D62-Stoff!$P62*$D62)*EXP(-($F62+Stoff!$L62*365)*AT62)</f>
        <v>#VALUE!</v>
      </c>
      <c r="AV62" s="291" t="e">
        <f>(Stoff!$P62*$D62)*EXP(-'1a. Spredningsmodell input'!$B$43*AT62)</f>
        <v>#VALUE!</v>
      </c>
      <c r="AW62" s="290" t="e">
        <f>($D62-Stoff!$P62*$D62-AU62)*($F62/($F62+Stoff!$L62*365))</f>
        <v>#VALUE!</v>
      </c>
      <c r="AX62" s="290" t="e">
        <f>(Stoff!$P62*$D62)-AV62</f>
        <v>#VALUE!</v>
      </c>
      <c r="AY62" s="290" t="e">
        <f>($O62+AW62)*EXP(-($N62+Stoff!$M62*365)*AT62)</f>
        <v>#VALUE!</v>
      </c>
      <c r="AZ62" s="290" t="e">
        <f>(Stoff!$P62*$O62+AX62)*EXP(-('1a. Spredningsmodell input'!$B$46)*AT62)</f>
        <v>#VALUE!</v>
      </c>
      <c r="BA62" s="292" t="e">
        <f>((AY62+AZ62)*1000000000)/('1a. Spredningsmodell input'!$B$45*1000)</f>
        <v>#VALUE!</v>
      </c>
      <c r="BB62" s="294" t="e">
        <f>0.001*BA62/('1a. Spredningsmodell input'!$C$25+'1a. Spredningsmodell input'!$C$26/Mellomregninger!$K62)</f>
        <v>#VALUE!</v>
      </c>
      <c r="BC62" s="294" t="e">
        <f>1000*BB62/$K62+AZ62*1000000000/('1a. Spredningsmodell input'!$B$45*1000)</f>
        <v>#VALUE!</v>
      </c>
      <c r="BD62" s="294" t="e">
        <f t="shared" si="2"/>
        <v>#VALUE!</v>
      </c>
      <c r="BE62" s="294" t="e">
        <f>AZ62*1000000000/('1a. Spredningsmodell input'!$B$45*1000)</f>
        <v>#VALUE!</v>
      </c>
      <c r="BF62" s="295">
        <f t="shared" si="26"/>
        <v>20</v>
      </c>
      <c r="BG62" s="290" t="e">
        <f>($D62-Stoff!$P62*$D62)*EXP(-($F62+Stoff!$L62*365)*BF62)</f>
        <v>#VALUE!</v>
      </c>
      <c r="BH62" s="291" t="e">
        <f>(Stoff!$P62*$D62)*EXP(-'1a. Spredningsmodell input'!$B$43*BF62)</f>
        <v>#VALUE!</v>
      </c>
      <c r="BI62" s="290" t="e">
        <f>($D62-Stoff!$P62*$D62-BG62)*($F62/($F62+Stoff!$L62*365))</f>
        <v>#VALUE!</v>
      </c>
      <c r="BJ62" s="290" t="e">
        <f>(Stoff!$P62*$D62)-BH62</f>
        <v>#VALUE!</v>
      </c>
      <c r="BK62" s="290" t="e">
        <f>($O62+BI62)*EXP(-($N62+Stoff!$M62*365)*BF62)</f>
        <v>#VALUE!</v>
      </c>
      <c r="BL62" s="290" t="e">
        <f>(Stoff!$P62*$O62+BJ62)*EXP(-('1a. Spredningsmodell input'!$B$46)*BF62)</f>
        <v>#VALUE!</v>
      </c>
      <c r="BM62" s="292" t="e">
        <f>((BK62+BL62)*1000000000)/('1a. Spredningsmodell input'!$B$45*1000)</f>
        <v>#VALUE!</v>
      </c>
      <c r="BN62" s="294" t="e">
        <f>0.001*BM62/('1a. Spredningsmodell input'!$C$25+'1a. Spredningsmodell input'!$C$26/Mellomregninger!$K62)</f>
        <v>#VALUE!</v>
      </c>
      <c r="BO62" s="294" t="e">
        <f>1000*BN62/$K62+BL62*1000000000/('1a. Spredningsmodell input'!$B$45*1000)</f>
        <v>#VALUE!</v>
      </c>
      <c r="BP62" s="294" t="e">
        <f t="shared" si="3"/>
        <v>#VALUE!</v>
      </c>
      <c r="BQ62" s="294" t="e">
        <f>BL62*1000000000/('1a. Spredningsmodell input'!$B$45*1000)</f>
        <v>#VALUE!</v>
      </c>
      <c r="BR62" s="295">
        <f t="shared" si="27"/>
        <v>100</v>
      </c>
      <c r="BS62" s="290" t="e">
        <f>($D62-Stoff!$P62*$D62)*EXP(-($F62+Stoff!$L62*365)*BR62)</f>
        <v>#VALUE!</v>
      </c>
      <c r="BT62" s="291" t="e">
        <f>(Stoff!$P62*$D62)*EXP(-'1a. Spredningsmodell input'!$B$43*BR62)</f>
        <v>#VALUE!</v>
      </c>
      <c r="BU62" s="290" t="e">
        <f>($D62-Stoff!$P62*$D62-BS62)*($F62/($F62+Stoff!$L62*365))</f>
        <v>#VALUE!</v>
      </c>
      <c r="BV62" s="290" t="e">
        <f>(Stoff!$P62*$D62)-BT62</f>
        <v>#VALUE!</v>
      </c>
      <c r="BW62" s="290" t="e">
        <f>($O62+BU62)*EXP(-($N62+Stoff!$M62*365)*BR62)</f>
        <v>#VALUE!</v>
      </c>
      <c r="BX62" s="290" t="e">
        <f>(Stoff!$P62*$O62+BV62)*EXP(-('1a. Spredningsmodell input'!$B$46)*BR62)</f>
        <v>#VALUE!</v>
      </c>
      <c r="BY62" s="292" t="e">
        <f>((BW62+BX62)*1000000000)/('1a. Spredningsmodell input'!$B$45*1000)</f>
        <v>#VALUE!</v>
      </c>
      <c r="BZ62" s="294" t="e">
        <f>0.001*BY62/('1a. Spredningsmodell input'!$C$25+'1a. Spredningsmodell input'!$C$26/Mellomregninger!$K62)</f>
        <v>#VALUE!</v>
      </c>
      <c r="CA62" s="294" t="e">
        <f>1000*BZ62/$K62+BX62*1000000000/('1a. Spredningsmodell input'!$B$45*1000)</f>
        <v>#VALUE!</v>
      </c>
      <c r="CB62" s="294" t="e">
        <f t="shared" si="4"/>
        <v>#VALUE!</v>
      </c>
      <c r="CC62" s="294" t="e">
        <f>BX62*1000000000/('1a. Spredningsmodell input'!$B$45*1000)</f>
        <v>#VALUE!</v>
      </c>
      <c r="CD62" s="294" t="e">
        <f>V62+'1a. Spredningsmodell input'!$C$35</f>
        <v>#VALUE!</v>
      </c>
      <c r="CE62" s="294" t="e">
        <f>($S62+$Q62*($O62+$I62*($D62*(1-Stoff!$P62))*(1-EXP(-($F62+Stoff!$L62*365)*CD62)))*(1-EXP(-($N62+Stoff!$M62*365)*CD62)))</f>
        <v>#VALUE!</v>
      </c>
      <c r="CF62" s="294" t="e">
        <f t="shared" si="5"/>
        <v>#VALUE!</v>
      </c>
      <c r="CG62" s="296" t="e">
        <f>(CF62/1000000)*'1a. Spredningsmodell input'!$B$49*'1a. Spredningsmodell input'!$C$35</f>
        <v>#VALUE!</v>
      </c>
      <c r="CH62" s="294" t="e">
        <f t="shared" si="17"/>
        <v>#VALUE!</v>
      </c>
      <c r="CI62" s="290" t="e">
        <f>(CH62/1000000)*'1a. Spredningsmodell input'!$B$49*'1a. Spredningsmodell input'!$C$35</f>
        <v>#VALUE!</v>
      </c>
      <c r="CJ62" s="297" t="e">
        <f>($S62)*EXP(-(Stoff!$N62*365+$U62)*CD62)+CG62</f>
        <v>#VALUE!</v>
      </c>
      <c r="CK62" s="297" t="e">
        <f>(Stoff!$P62*$S62+CI62)*EXP(-$T62*CD62)</f>
        <v>#VALUE!</v>
      </c>
      <c r="CL62" s="297" t="e">
        <f>(CJ62+CK62)*1000000000/('1a. Spredningsmodell input'!$C$36*1000)</f>
        <v>#VALUE!</v>
      </c>
      <c r="CM62" s="297" t="e">
        <f>$G62*(1-EXP(-'1a. Spredningsmodell input'!$B$43*Mellomregninger!CD62))*(1-EXP(-'1a. Spredningsmodell input'!$B$46*Mellomregninger!CD62))</f>
        <v>#VALUE!</v>
      </c>
      <c r="CN62" s="297"/>
      <c r="CO62" s="297"/>
      <c r="CP62" s="290">
        <f>IF(ISNUMBER(AH62),AH62+'1a. Spredningsmodell input'!$C$35,'1a. Spredningsmodell input'!$C$35)</f>
        <v>1</v>
      </c>
      <c r="CQ62" s="294" t="e">
        <f>($S62+$Q62*($O62+$I62*($D62*(1-Stoff!$P62))*(1-EXP(-($F62+Stoff!$L62*365)*CP62)))*(1-EXP(-($N62+Stoff!$M62*365)*CP62)))</f>
        <v>#VALUE!</v>
      </c>
      <c r="CR62" s="294" t="e">
        <f t="shared" si="6"/>
        <v>#VALUE!</v>
      </c>
      <c r="CS62" s="296" t="e">
        <f>(CR62/1000000)*('1a. Spredningsmodell input'!$B$49*'1a. Spredningsmodell input'!$C$35)</f>
        <v>#VALUE!</v>
      </c>
      <c r="CT62" s="294" t="e">
        <f t="shared" si="7"/>
        <v>#VALUE!</v>
      </c>
      <c r="CU62" s="290" t="e">
        <f>(CT62/1000000)*('1a. Spredningsmodell input'!$B$49)*'1a. Spredningsmodell input'!$C$35</f>
        <v>#VALUE!</v>
      </c>
      <c r="CV62" s="297" t="e">
        <f>($S62)*EXP(-(Stoff!$N62*365+$U62)*CP62)+CS62</f>
        <v>#VALUE!</v>
      </c>
      <c r="CW62" s="297" t="e">
        <f>(Stoff!$P62*$S62+CU62)*EXP(-$T62*CP62)</f>
        <v>#VALUE!</v>
      </c>
      <c r="CX62" s="297">
        <f>IF(ISERROR(CV62),0,(CV62+CW62)*1000000000/('1a. Spredningsmodell input'!$C$36*1000))</f>
        <v>0</v>
      </c>
      <c r="CY62" s="297" t="e">
        <f>$G62*(1-EXP(-'1a. Spredningsmodell input'!$B$43*Mellomregninger!CP62))*(1-EXP(-'1a. Spredningsmodell input'!$B$46*Mellomregninger!CP62))</f>
        <v>#VALUE!</v>
      </c>
      <c r="CZ62" s="297"/>
      <c r="DA62" s="297"/>
      <c r="DB62" s="262">
        <f t="shared" si="28"/>
        <v>5</v>
      </c>
      <c r="DC62" s="298" t="e">
        <f>($S62+$Q62*($O62+$I62*($D62*(1-Stoff!$P62))*(1-EXP(-($F62+Stoff!$L62*365)*DB62)))*(1-EXP(-($N62+Stoff!$M62*365)*DB62)))</f>
        <v>#VALUE!</v>
      </c>
      <c r="DD62" s="294" t="e">
        <f t="shared" si="8"/>
        <v>#VALUE!</v>
      </c>
      <c r="DE62" s="296" t="e">
        <f>(DD62/1000000)*('1a. Spredningsmodell input'!$B$49)*'1a. Spredningsmodell input'!$C$35</f>
        <v>#VALUE!</v>
      </c>
      <c r="DF62" s="294" t="e">
        <f t="shared" si="19"/>
        <v>#VALUE!</v>
      </c>
      <c r="DG62" s="290" t="e">
        <f>(DF62/1000000)*('1a. Spredningsmodell input'!$B$49)*'1a. Spredningsmodell input'!$C$35</f>
        <v>#VALUE!</v>
      </c>
      <c r="DH62" s="297" t="e">
        <f>($S62)*EXP(-(Stoff!$N62*365+$U62)*DB62)+DE62</f>
        <v>#VALUE!</v>
      </c>
      <c r="DI62" s="297" t="e">
        <f>(Stoff!$P62*$S62+DG62)*EXP(-$T62*DB62)</f>
        <v>#VALUE!</v>
      </c>
      <c r="DJ62" s="297" t="e">
        <f>(DH62+DI62)*1000000000/('1a. Spredningsmodell input'!$C$36*1000)</f>
        <v>#VALUE!</v>
      </c>
      <c r="DK62" s="297" t="e">
        <f>$G62*(1-EXP(-'1a. Spredningsmodell input'!$B$43*Mellomregninger!DB62))*(1-EXP(-'1a. Spredningsmodell input'!$B$46*Mellomregninger!DB62))</f>
        <v>#VALUE!</v>
      </c>
      <c r="DL62" s="297"/>
      <c r="DM62" s="297"/>
      <c r="DN62" s="262">
        <f t="shared" si="29"/>
        <v>20</v>
      </c>
      <c r="DO62" s="298" t="e">
        <f>($S62+$Q62*($O62+$I62*($D62*(1-Stoff!$P62))*(1-EXP(-($F62+Stoff!$L62*365)*DN62)))*(1-EXP(-($N62+Stoff!$M62*365)*DN62)))</f>
        <v>#VALUE!</v>
      </c>
      <c r="DP62" s="294" t="e">
        <f t="shared" si="21"/>
        <v>#VALUE!</v>
      </c>
      <c r="DQ62" s="296" t="e">
        <f>(DP62/1000000)*('1a. Spredningsmodell input'!$B$49)*'1a. Spredningsmodell input'!$C$35</f>
        <v>#VALUE!</v>
      </c>
      <c r="DR62" s="294" t="e">
        <f t="shared" si="9"/>
        <v>#VALUE!</v>
      </c>
      <c r="DS62" s="290" t="e">
        <f>(DR62/1000000)*('1a. Spredningsmodell input'!$B$49)*'1a. Spredningsmodell input'!$C$35</f>
        <v>#VALUE!</v>
      </c>
      <c r="DT62" s="297" t="e">
        <f>($S62)*EXP(-(Stoff!$N62*365+$U62)*DN62)+DQ62</f>
        <v>#VALUE!</v>
      </c>
      <c r="DU62" s="297" t="e">
        <f>(Stoff!$P62*$S62+DS62)*EXP(-$T62*DN62)</f>
        <v>#VALUE!</v>
      </c>
      <c r="DV62" s="297" t="e">
        <f>(DT62+DU62)*1000000000/('1a. Spredningsmodell input'!$C$36*1000)</f>
        <v>#VALUE!</v>
      </c>
      <c r="DW62" s="297" t="e">
        <f>$G62*(1-EXP(-'1a. Spredningsmodell input'!$B$43*Mellomregninger!DN62))*(1-EXP(-'1a. Spredningsmodell input'!$B$46*Mellomregninger!DN62))</f>
        <v>#VALUE!</v>
      </c>
      <c r="DX62" s="297"/>
      <c r="DY62" s="297"/>
      <c r="DZ62" s="262">
        <f t="shared" si="30"/>
        <v>100</v>
      </c>
      <c r="EA62" s="298" t="e">
        <f>($S62+$Q62*($O62+$I62*($D62*(1-Stoff!$P62))*(1-EXP(-($F62+Stoff!$L62*365)*DZ62)))*(1-EXP(-($N62+Stoff!$M62*365)*DZ62)))</f>
        <v>#VALUE!</v>
      </c>
      <c r="EB62" s="294" t="e">
        <f t="shared" si="10"/>
        <v>#VALUE!</v>
      </c>
      <c r="EC62" s="296" t="e">
        <f>(EB62/1000000)*('1a. Spredningsmodell input'!$B$49)*'1a. Spredningsmodell input'!$C$35</f>
        <v>#VALUE!</v>
      </c>
      <c r="ED62" s="294" t="e">
        <f t="shared" si="11"/>
        <v>#VALUE!</v>
      </c>
      <c r="EE62" s="290" t="e">
        <f>(ED62/1000000)*('1a. Spredningsmodell input'!$B$49)*'1a. Spredningsmodell input'!$C$35</f>
        <v>#VALUE!</v>
      </c>
      <c r="EF62" s="297" t="e">
        <f>($S62)*EXP(-(Stoff!$N62*365+$U62)*DZ62)+EC62</f>
        <v>#VALUE!</v>
      </c>
      <c r="EG62" s="297" t="e">
        <f>(Stoff!$P62*$S62+EE62)*EXP(-$T62*DZ62)</f>
        <v>#VALUE!</v>
      </c>
      <c r="EH62" s="297" t="e">
        <f>(EF62+EG62)*1000000000/('1a. Spredningsmodell input'!$C$36*1000)</f>
        <v>#VALUE!</v>
      </c>
      <c r="EI62" s="297" t="e">
        <f>$G62*(1-EXP(-'1a. Spredningsmodell input'!$B$43*Mellomregninger!DZ62))*(1-EXP(-'1a. Spredningsmodell input'!$B$46*Mellomregninger!DZ62))</f>
        <v>#VALUE!</v>
      </c>
      <c r="EJ62" s="297"/>
      <c r="EK62" s="297"/>
      <c r="EL62" s="262">
        <f t="shared" si="31"/>
        <v>1.0000000000000001E+25</v>
      </c>
      <c r="EM62" s="294" t="e">
        <f>($S62+$Q62*($O62+$I62*($D62*(1-Stoff!$P62))*(1-EXP(-($F62+Stoff!$L62*365)*EL62)))*(1-EXP(-($N62+Stoff!$M62*365)*EL62)))</f>
        <v>#VALUE!</v>
      </c>
      <c r="EN62" s="296" t="e">
        <f>($S62+$Q62*($O62+$I62*($D62*(1-Stoff!$P62))*(1-EXP(-($F62+Stoff!$L62*365)*(EL62-'1a. Spredningsmodell input'!$C$35))))*(1-EXP(-($N62+Stoff!$M62*365)*(EL62-'1a. Spredningsmodell input'!$C$35))))</f>
        <v>#VALUE!</v>
      </c>
      <c r="EO62" s="294" t="e">
        <f>IF(EL62&lt;'1a. Spredningsmodell input'!$C$35,EM62-($S62)*EXP(-(Stoff!$N62*365+$U62)*EL62),EM62-EN62)</f>
        <v>#VALUE!</v>
      </c>
      <c r="EP62" s="290" t="e">
        <f>((($D62*(Stoff!$P62))*(1-EXP(-'1a. Spredningsmodell input'!$B$43*EL62)))*(1-EXP(-'1a. Spredningsmodell input'!$B$46*EL62)))</f>
        <v>#VALUE!</v>
      </c>
      <c r="EQ62" s="294" t="e">
        <f>((($D62*(Stoff!$P62))*(1-EXP(-'1a. Spredningsmodell input'!$B$43*(EL62-'1a. Spredningsmodell input'!$C$35))))*(1-EXP(-'1a. Spredningsmodell input'!$B$46*(EL62-'1a. Spredningsmodell input'!$C$35))))</f>
        <v>#VALUE!</v>
      </c>
      <c r="ER62" s="290" t="e">
        <f>IF(EL62&lt;'1a. Spredningsmodell input'!$C$35,0,EP62-EQ62)</f>
        <v>#VALUE!</v>
      </c>
      <c r="ES62" s="297" t="e">
        <f>($S62)*EXP(-(Stoff!$N62*365+$U62)*EL62)+EO62</f>
        <v>#VALUE!</v>
      </c>
      <c r="ET62" s="297" t="e">
        <f>(Stoff!$P62*$S62+ER62)*EXP(-$T62*EL62)</f>
        <v>#VALUE!</v>
      </c>
      <c r="EU62" s="297" t="e">
        <f>(ES62+ET62)*1000000000/('1a. Spredningsmodell input'!$C$36*1000)</f>
        <v>#VALUE!</v>
      </c>
      <c r="EV62" s="262" t="e">
        <f t="shared" si="32"/>
        <v>#VALUE!</v>
      </c>
      <c r="EW62" s="299" t="e">
        <f t="shared" si="33"/>
        <v>#VALUE!</v>
      </c>
      <c r="EX62" s="262" t="e">
        <f t="shared" si="34"/>
        <v>#VALUE!</v>
      </c>
    </row>
    <row r="63" spans="1:154" x14ac:dyDescent="0.35">
      <c r="A63" s="50" t="s">
        <v>147</v>
      </c>
      <c r="B63" s="34" t="str">
        <f>IF(ISNUMBER('1c. Kons. porevann'!E63),1000*'1c. Kons. porevann'!E63,IF(ISNUMBER('1b. Kons. umettet jord'!E63),1000*'1b. Kons. umettet jord'!E63/C63,""))</f>
        <v/>
      </c>
      <c r="C63" s="244">
        <f>IF(Stoff!B63="uorganisk",Stoff!C63,Stoff!D63*'1a. Spredningsmodell input'!$C$11)</f>
        <v>0</v>
      </c>
      <c r="D63" s="34" t="str">
        <f>IF(ISNUMBER(B63),0.000001*('1b. Kons. umettet jord'!G63*'1a. Spredningsmodell input'!$C$12+B63*0.001*'1a. Spredningsmodell input'!$C$14)*1000*'1a. Spredningsmodell input'!$B$41*'1a. Spredningsmodell input'!$C$18,"")</f>
        <v/>
      </c>
      <c r="E63" s="283">
        <f>C63*'1a. Spredningsmodell input'!$C$12/'1a. Spredningsmodell input'!$C$14+1</f>
        <v>1</v>
      </c>
      <c r="F63" s="284">
        <f>'1a. Spredningsmodell input'!$B$43/E63</f>
        <v>1.4999999999999998</v>
      </c>
      <c r="G63" s="34" t="e">
        <f>Stoff!P63*Mellomregninger!D63</f>
        <v>#VALUE!</v>
      </c>
      <c r="H63" s="283" t="e">
        <f>(D63-G63)*(F63/(F63+Stoff!L63))</f>
        <v>#VALUE!</v>
      </c>
      <c r="I63" s="283">
        <f>F63/(F63+Stoff!L63)</f>
        <v>1</v>
      </c>
      <c r="J63" s="285" t="str">
        <f>IF(B63="","",IF(ISNUMBER('1d. Kons. mettet sone'!E63),'1d. Kons. mettet sone'!E63,IF(ISNUMBER('1e. Kons. grunnvann'!E63),'1e. Kons. grunnvann'!E63*Mellomregninger!K63,0)))</f>
        <v/>
      </c>
      <c r="K63" s="286">
        <f>IF(Stoff!B63="uorganisk",Stoff!C63,Stoff!D63*'1a. Spredningsmodell input'!$C$24)</f>
        <v>0</v>
      </c>
      <c r="L63" s="27" t="e">
        <f>IF(ISNUMBER('1e. Kons. grunnvann'!E63),1000*'1e. Kons. grunnvann'!E63,1000*J63/K63)</f>
        <v>#VALUE!</v>
      </c>
      <c r="M63" s="34">
        <f>K63*'1a. Spredningsmodell input'!$C$25/'1a. Spredningsmodell input'!$C$26+1</f>
        <v>1</v>
      </c>
      <c r="N63" s="284">
        <f>'1a. Spredningsmodell input'!$C$26/M63</f>
        <v>0.4</v>
      </c>
      <c r="O63" s="287" t="e">
        <f>0.000000001*(J63*'1a. Spredningsmodell input'!$C$25+L63)*1000*'1a. Spredningsmodell input'!$B$45</f>
        <v>#VALUE!</v>
      </c>
      <c r="P63" s="287" t="e">
        <f>O63*Stoff!P63</f>
        <v>#VALUE!</v>
      </c>
      <c r="Q63" s="287">
        <f>N63/(N63+Stoff!M63)</f>
        <v>1</v>
      </c>
      <c r="R63" s="288">
        <f>IF(ISNUMBER('1f. Kons. resipient'!E63),'1f. Kons. resipient'!E63,0)</f>
        <v>0</v>
      </c>
      <c r="S63" s="288">
        <f>0.000000001*'1a. Spredningsmodell input'!$C$36*R63*1000</f>
        <v>0</v>
      </c>
      <c r="T63" s="288">
        <f>1/'1a. Spredningsmodell input'!$C$35</f>
        <v>1</v>
      </c>
      <c r="U63" s="288">
        <f>1/'1a. Spredningsmodell input'!$C$35</f>
        <v>1</v>
      </c>
      <c r="V63" s="300" t="e">
        <f>(1/($N63+Stoff!$L63))*(LN(($D63*$I63/($D63*$I63+$J63))*($F63+Stoff!$L63+$N63+Stoff!$M63)/($N63+Stoff!$M63)))</f>
        <v>#VALUE!</v>
      </c>
      <c r="W63" s="290" t="e">
        <f>($D63-Stoff!$P63*$D63)*EXP(-($F63+Stoff!$L63*365)*V63)</f>
        <v>#VALUE!</v>
      </c>
      <c r="X63" s="291" t="e">
        <f>(Stoff!$P63*$D63)*EXP(-'1a. Spredningsmodell input'!$B$43*V63)</f>
        <v>#VALUE!</v>
      </c>
      <c r="Y63" s="290" t="e">
        <f>($D63-Stoff!$P63*$D63-W63)*($F63/($F63+Stoff!$L63*365))</f>
        <v>#VALUE!</v>
      </c>
      <c r="Z63" s="290" t="e">
        <f>(Stoff!$P63*$D63)-X63</f>
        <v>#VALUE!</v>
      </c>
      <c r="AA63" s="290" t="e">
        <f>($O63+Y63)*EXP(-($N63+Stoff!$M63*365)*V63)</f>
        <v>#VALUE!</v>
      </c>
      <c r="AB63" s="290" t="e">
        <f>(Stoff!$P63*$O63+Z63)*EXP(-('1a. Spredningsmodell input'!$B$46)*V63)</f>
        <v>#VALUE!</v>
      </c>
      <c r="AC63" s="292" t="e">
        <f>((AA63+AB63)*1000000000)/('1a. Spredningsmodell input'!$B$45*1000)</f>
        <v>#VALUE!</v>
      </c>
      <c r="AD63" s="294" t="e">
        <f>0.001*AC63/('1a. Spredningsmodell input'!$C$25+'1a. Spredningsmodell input'!$C$26/Mellomregninger!$K63)</f>
        <v>#VALUE!</v>
      </c>
      <c r="AE63" s="294" t="e">
        <f>1000*AD63/$K63+AB63*1000000000/('1a. Spredningsmodell input'!$B$45*1000)</f>
        <v>#VALUE!</v>
      </c>
      <c r="AF63" s="294" t="e">
        <f t="shared" si="0"/>
        <v>#VALUE!</v>
      </c>
      <c r="AG63" s="294" t="e">
        <f>AB63*1000000000/('1a. Spredningsmodell input'!$B$45*1000)</f>
        <v>#VALUE!</v>
      </c>
      <c r="AH63" s="300" t="e">
        <f>(1/('1a. Spredningsmodell input'!$B$46))*(LN(($D63*Stoff!$P63/($D63*Stoff!$P63+$P63*Stoff!$P63))*('1a. Spredningsmodell input'!$B$43+'1a. Spredningsmodell input'!$B$46)/('1a. Spredningsmodell input'!$B$46)))</f>
        <v>#VALUE!</v>
      </c>
      <c r="AI63" s="290" t="e">
        <f>($D63-Stoff!$P63*$D63)*EXP(-($F63+Stoff!$L63*365)*AH63)</f>
        <v>#VALUE!</v>
      </c>
      <c r="AJ63" s="291" t="e">
        <f>(Stoff!$P63*$D63)*EXP(-'1a. Spredningsmodell input'!$B$43*AH63)</f>
        <v>#VALUE!</v>
      </c>
      <c r="AK63" s="290" t="e">
        <f>($D63-Stoff!$P63*$D63-AI63)*($F63/($F63+Stoff!$L63*365))</f>
        <v>#VALUE!</v>
      </c>
      <c r="AL63" s="290" t="e">
        <f>(Stoff!$P63*$D63)-AJ63</f>
        <v>#VALUE!</v>
      </c>
      <c r="AM63" s="290" t="e">
        <f>($O63+AK63)*EXP(-($N63+Stoff!$M63*365)*AH63)</f>
        <v>#VALUE!</v>
      </c>
      <c r="AN63" s="290" t="e">
        <f>(Stoff!$P63*$O63+AL63)*EXP(-('1a. Spredningsmodell input'!$B$46)*AH63)</f>
        <v>#VALUE!</v>
      </c>
      <c r="AO63" s="292" t="e">
        <f>((AM63+AN63)*1000000000)/('1a. Spredningsmodell input'!$B$45*1000)</f>
        <v>#VALUE!</v>
      </c>
      <c r="AP63" s="294" t="e">
        <f>0.001*AO63/('1a. Spredningsmodell input'!$C$25+'1a. Spredningsmodell input'!$C$26/Mellomregninger!$K63)</f>
        <v>#VALUE!</v>
      </c>
      <c r="AQ63" s="294" t="e">
        <f>1000*AP63/$K63+AN63*1000000000/('1a. Spredningsmodell input'!$B$45*1000)</f>
        <v>#VALUE!</v>
      </c>
      <c r="AR63" s="294" t="e">
        <f t="shared" si="1"/>
        <v>#VALUE!</v>
      </c>
      <c r="AS63" s="294" t="e">
        <f>AN63*1000000000/('1a. Spredningsmodell input'!$B$45*1000)</f>
        <v>#VALUE!</v>
      </c>
      <c r="AT63" s="295">
        <f t="shared" si="25"/>
        <v>5</v>
      </c>
      <c r="AU63" s="290" t="e">
        <f>($D63-Stoff!$P63*$D63)*EXP(-($F63+Stoff!$L63*365)*AT63)</f>
        <v>#VALUE!</v>
      </c>
      <c r="AV63" s="291" t="e">
        <f>(Stoff!$P63*$D63)*EXP(-'1a. Spredningsmodell input'!$B$43*AT63)</f>
        <v>#VALUE!</v>
      </c>
      <c r="AW63" s="290" t="e">
        <f>($D63-Stoff!$P63*$D63-AU63)*($F63/($F63+Stoff!$L63*365))</f>
        <v>#VALUE!</v>
      </c>
      <c r="AX63" s="290" t="e">
        <f>(Stoff!$P63*$D63)-AV63</f>
        <v>#VALUE!</v>
      </c>
      <c r="AY63" s="290" t="e">
        <f>($O63+AW63)*EXP(-($N63+Stoff!$M63*365)*AT63)</f>
        <v>#VALUE!</v>
      </c>
      <c r="AZ63" s="290" t="e">
        <f>(Stoff!$P63*$O63+AX63)*EXP(-('1a. Spredningsmodell input'!$B$46)*AT63)</f>
        <v>#VALUE!</v>
      </c>
      <c r="BA63" s="292" t="e">
        <f>((AY63+AZ63)*1000000000)/('1a. Spredningsmodell input'!$B$45*1000)</f>
        <v>#VALUE!</v>
      </c>
      <c r="BB63" s="294" t="e">
        <f>0.001*BA63/('1a. Spredningsmodell input'!$C$25+'1a. Spredningsmodell input'!$C$26/Mellomregninger!$K63)</f>
        <v>#VALUE!</v>
      </c>
      <c r="BC63" s="294" t="e">
        <f>1000*BB63/$K63+AZ63*1000000000/('1a. Spredningsmodell input'!$B$45*1000)</f>
        <v>#VALUE!</v>
      </c>
      <c r="BD63" s="294" t="e">
        <f t="shared" si="2"/>
        <v>#VALUE!</v>
      </c>
      <c r="BE63" s="294" t="e">
        <f>AZ63*1000000000/('1a. Spredningsmodell input'!$B$45*1000)</f>
        <v>#VALUE!</v>
      </c>
      <c r="BF63" s="295">
        <f t="shared" si="26"/>
        <v>20</v>
      </c>
      <c r="BG63" s="290" t="e">
        <f>($D63-Stoff!$P63*$D63)*EXP(-($F63+Stoff!$L63*365)*BF63)</f>
        <v>#VALUE!</v>
      </c>
      <c r="BH63" s="291" t="e">
        <f>(Stoff!$P63*$D63)*EXP(-'1a. Spredningsmodell input'!$B$43*BF63)</f>
        <v>#VALUE!</v>
      </c>
      <c r="BI63" s="290" t="e">
        <f>($D63-Stoff!$P63*$D63-BG63)*($F63/($F63+Stoff!$L63*365))</f>
        <v>#VALUE!</v>
      </c>
      <c r="BJ63" s="290" t="e">
        <f>(Stoff!$P63*$D63)-BH63</f>
        <v>#VALUE!</v>
      </c>
      <c r="BK63" s="290" t="e">
        <f>($O63+BI63)*EXP(-($N63+Stoff!$M63*365)*BF63)</f>
        <v>#VALUE!</v>
      </c>
      <c r="BL63" s="290" t="e">
        <f>(Stoff!$P63*$O63+BJ63)*EXP(-('1a. Spredningsmodell input'!$B$46)*BF63)</f>
        <v>#VALUE!</v>
      </c>
      <c r="BM63" s="292" t="e">
        <f>((BK63+BL63)*1000000000)/('1a. Spredningsmodell input'!$B$45*1000)</f>
        <v>#VALUE!</v>
      </c>
      <c r="BN63" s="294" t="e">
        <f>0.001*BM63/('1a. Spredningsmodell input'!$C$25+'1a. Spredningsmodell input'!$C$26/Mellomregninger!$K63)</f>
        <v>#VALUE!</v>
      </c>
      <c r="BO63" s="294" t="e">
        <f>1000*BN63/$K63+BL63*1000000000/('1a. Spredningsmodell input'!$B$45*1000)</f>
        <v>#VALUE!</v>
      </c>
      <c r="BP63" s="294" t="e">
        <f t="shared" si="3"/>
        <v>#VALUE!</v>
      </c>
      <c r="BQ63" s="294" t="e">
        <f>BL63*1000000000/('1a. Spredningsmodell input'!$B$45*1000)</f>
        <v>#VALUE!</v>
      </c>
      <c r="BR63" s="295">
        <f t="shared" si="27"/>
        <v>100</v>
      </c>
      <c r="BS63" s="290" t="e">
        <f>($D63-Stoff!$P63*$D63)*EXP(-($F63+Stoff!$L63*365)*BR63)</f>
        <v>#VALUE!</v>
      </c>
      <c r="BT63" s="291" t="e">
        <f>(Stoff!$P63*$D63)*EXP(-'1a. Spredningsmodell input'!$B$43*BR63)</f>
        <v>#VALUE!</v>
      </c>
      <c r="BU63" s="290" t="e">
        <f>($D63-Stoff!$P63*$D63-BS63)*($F63/($F63+Stoff!$L63*365))</f>
        <v>#VALUE!</v>
      </c>
      <c r="BV63" s="290" t="e">
        <f>(Stoff!$P63*$D63)-BT63</f>
        <v>#VALUE!</v>
      </c>
      <c r="BW63" s="290" t="e">
        <f>($O63+BU63)*EXP(-($N63+Stoff!$M63*365)*BR63)</f>
        <v>#VALUE!</v>
      </c>
      <c r="BX63" s="290" t="e">
        <f>(Stoff!$P63*$O63+BV63)*EXP(-('1a. Spredningsmodell input'!$B$46)*BR63)</f>
        <v>#VALUE!</v>
      </c>
      <c r="BY63" s="292" t="e">
        <f>((BW63+BX63)*1000000000)/('1a. Spredningsmodell input'!$B$45*1000)</f>
        <v>#VALUE!</v>
      </c>
      <c r="BZ63" s="294" t="e">
        <f>0.001*BY63/('1a. Spredningsmodell input'!$C$25+'1a. Spredningsmodell input'!$C$26/Mellomregninger!$K63)</f>
        <v>#VALUE!</v>
      </c>
      <c r="CA63" s="294" t="e">
        <f>1000*BZ63/$K63+BX63*1000000000/('1a. Spredningsmodell input'!$B$45*1000)</f>
        <v>#VALUE!</v>
      </c>
      <c r="CB63" s="294" t="e">
        <f t="shared" si="4"/>
        <v>#VALUE!</v>
      </c>
      <c r="CC63" s="294" t="e">
        <f>BX63*1000000000/('1a. Spredningsmodell input'!$B$45*1000)</f>
        <v>#VALUE!</v>
      </c>
      <c r="CD63" s="294" t="e">
        <f>V63+'1a. Spredningsmodell input'!$C$35</f>
        <v>#VALUE!</v>
      </c>
      <c r="CE63" s="294" t="e">
        <f>($S63+$Q63*($O63+$I63*($D63*(1-Stoff!$P63))*(1-EXP(-($F63+Stoff!$L63*365)*CD63)))*(1-EXP(-($N63+Stoff!$M63*365)*CD63)))</f>
        <v>#VALUE!</v>
      </c>
      <c r="CF63" s="294" t="e">
        <f t="shared" si="5"/>
        <v>#VALUE!</v>
      </c>
      <c r="CG63" s="296" t="e">
        <f>(CF63/1000000)*'1a. Spredningsmodell input'!$B$49*'1a. Spredningsmodell input'!$C$35</f>
        <v>#VALUE!</v>
      </c>
      <c r="CH63" s="294" t="e">
        <f t="shared" si="17"/>
        <v>#VALUE!</v>
      </c>
      <c r="CI63" s="290" t="e">
        <f>(CH63/1000000)*'1a. Spredningsmodell input'!$B$49*'1a. Spredningsmodell input'!$C$35</f>
        <v>#VALUE!</v>
      </c>
      <c r="CJ63" s="297" t="e">
        <f>($S63)*EXP(-(Stoff!$N63*365+$U63)*CD63)+CG63</f>
        <v>#VALUE!</v>
      </c>
      <c r="CK63" s="297" t="e">
        <f>(Stoff!$P63*$S63+CI63)*EXP(-$T63*CD63)</f>
        <v>#VALUE!</v>
      </c>
      <c r="CL63" s="297" t="e">
        <f>(CJ63+CK63)*1000000000/('1a. Spredningsmodell input'!$C$36*1000)</f>
        <v>#VALUE!</v>
      </c>
      <c r="CM63" s="297" t="e">
        <f>$G63*(1-EXP(-'1a. Spredningsmodell input'!$B$43*Mellomregninger!CD63))*(1-EXP(-'1a. Spredningsmodell input'!$B$46*Mellomregninger!CD63))</f>
        <v>#VALUE!</v>
      </c>
      <c r="CN63" s="297"/>
      <c r="CO63" s="297"/>
      <c r="CP63" s="290">
        <f>IF(ISNUMBER(AH63),AH63+'1a. Spredningsmodell input'!$C$35,'1a. Spredningsmodell input'!$C$35)</f>
        <v>1</v>
      </c>
      <c r="CQ63" s="294" t="e">
        <f>($S63+$Q63*($O63+$I63*($D63*(1-Stoff!$P63))*(1-EXP(-($F63+Stoff!$L63*365)*CP63)))*(1-EXP(-($N63+Stoff!$M63*365)*CP63)))</f>
        <v>#VALUE!</v>
      </c>
      <c r="CR63" s="294" t="e">
        <f t="shared" si="6"/>
        <v>#VALUE!</v>
      </c>
      <c r="CS63" s="296" t="e">
        <f>(CR63/1000000)*('1a. Spredningsmodell input'!$B$49*'1a. Spredningsmodell input'!$C$35)</f>
        <v>#VALUE!</v>
      </c>
      <c r="CT63" s="294" t="e">
        <f t="shared" si="7"/>
        <v>#VALUE!</v>
      </c>
      <c r="CU63" s="290" t="e">
        <f>(CT63/1000000)*('1a. Spredningsmodell input'!$B$49)*'1a. Spredningsmodell input'!$C$35</f>
        <v>#VALUE!</v>
      </c>
      <c r="CV63" s="297" t="e">
        <f>($S63)*EXP(-(Stoff!$N63*365+$U63)*CP63)+CS63</f>
        <v>#VALUE!</v>
      </c>
      <c r="CW63" s="297" t="e">
        <f>(Stoff!$P63*$S63+CU63)*EXP(-$T63*CP63)</f>
        <v>#VALUE!</v>
      </c>
      <c r="CX63" s="297">
        <f>IF(ISERROR(CV63),0,(CV63+CW63)*1000000000/('1a. Spredningsmodell input'!$C$36*1000))</f>
        <v>0</v>
      </c>
      <c r="CY63" s="297" t="e">
        <f>$G63*(1-EXP(-'1a. Spredningsmodell input'!$B$43*Mellomregninger!CP63))*(1-EXP(-'1a. Spredningsmodell input'!$B$46*Mellomregninger!CP63))</f>
        <v>#VALUE!</v>
      </c>
      <c r="CZ63" s="297"/>
      <c r="DA63" s="297"/>
      <c r="DB63" s="262">
        <f t="shared" si="28"/>
        <v>5</v>
      </c>
      <c r="DC63" s="298" t="e">
        <f>($S63+$Q63*($O63+$I63*($D63*(1-Stoff!$P63))*(1-EXP(-($F63+Stoff!$L63*365)*DB63)))*(1-EXP(-($N63+Stoff!$M63*365)*DB63)))</f>
        <v>#VALUE!</v>
      </c>
      <c r="DD63" s="294" t="e">
        <f t="shared" si="8"/>
        <v>#VALUE!</v>
      </c>
      <c r="DE63" s="296" t="e">
        <f>(DD63/1000000)*('1a. Spredningsmodell input'!$B$49)*'1a. Spredningsmodell input'!$C$35</f>
        <v>#VALUE!</v>
      </c>
      <c r="DF63" s="294" t="e">
        <f t="shared" si="19"/>
        <v>#VALUE!</v>
      </c>
      <c r="DG63" s="290" t="e">
        <f>(DF63/1000000)*('1a. Spredningsmodell input'!$B$49)*'1a. Spredningsmodell input'!$C$35</f>
        <v>#VALUE!</v>
      </c>
      <c r="DH63" s="297" t="e">
        <f>($S63)*EXP(-(Stoff!$N63*365+$U63)*DB63)+DE63</f>
        <v>#VALUE!</v>
      </c>
      <c r="DI63" s="297" t="e">
        <f>(Stoff!$P63*$S63+DG63)*EXP(-$T63*DB63)</f>
        <v>#VALUE!</v>
      </c>
      <c r="DJ63" s="297" t="e">
        <f>(DH63+DI63)*1000000000/('1a. Spredningsmodell input'!$C$36*1000)</f>
        <v>#VALUE!</v>
      </c>
      <c r="DK63" s="297" t="e">
        <f>$G63*(1-EXP(-'1a. Spredningsmodell input'!$B$43*Mellomregninger!DB63))*(1-EXP(-'1a. Spredningsmodell input'!$B$46*Mellomregninger!DB63))</f>
        <v>#VALUE!</v>
      </c>
      <c r="DL63" s="297"/>
      <c r="DM63" s="297"/>
      <c r="DN63" s="262">
        <f t="shared" si="29"/>
        <v>20</v>
      </c>
      <c r="DO63" s="298" t="e">
        <f>($S63+$Q63*($O63+$I63*($D63*(1-Stoff!$P63))*(1-EXP(-($F63+Stoff!$L63*365)*DN63)))*(1-EXP(-($N63+Stoff!$M63*365)*DN63)))</f>
        <v>#VALUE!</v>
      </c>
      <c r="DP63" s="294" t="e">
        <f t="shared" si="21"/>
        <v>#VALUE!</v>
      </c>
      <c r="DQ63" s="296" t="e">
        <f>(DP63/1000000)*('1a. Spredningsmodell input'!$B$49)*'1a. Spredningsmodell input'!$C$35</f>
        <v>#VALUE!</v>
      </c>
      <c r="DR63" s="294" t="e">
        <f t="shared" si="9"/>
        <v>#VALUE!</v>
      </c>
      <c r="DS63" s="290" t="e">
        <f>(DR63/1000000)*('1a. Spredningsmodell input'!$B$49)*'1a. Spredningsmodell input'!$C$35</f>
        <v>#VALUE!</v>
      </c>
      <c r="DT63" s="297" t="e">
        <f>($S63)*EXP(-(Stoff!$N63*365+$U63)*DN63)+DQ63</f>
        <v>#VALUE!</v>
      </c>
      <c r="DU63" s="297" t="e">
        <f>(Stoff!$P63*$S63+DS63)*EXP(-$T63*DN63)</f>
        <v>#VALUE!</v>
      </c>
      <c r="DV63" s="297" t="e">
        <f>(DT63+DU63)*1000000000/('1a. Spredningsmodell input'!$C$36*1000)</f>
        <v>#VALUE!</v>
      </c>
      <c r="DW63" s="297" t="e">
        <f>$G63*(1-EXP(-'1a. Spredningsmodell input'!$B$43*Mellomregninger!DN63))*(1-EXP(-'1a. Spredningsmodell input'!$B$46*Mellomregninger!DN63))</f>
        <v>#VALUE!</v>
      </c>
      <c r="DX63" s="297"/>
      <c r="DY63" s="297"/>
      <c r="DZ63" s="262">
        <f t="shared" si="30"/>
        <v>100</v>
      </c>
      <c r="EA63" s="298" t="e">
        <f>($S63+$Q63*($O63+$I63*($D63*(1-Stoff!$P63))*(1-EXP(-($F63+Stoff!$L63*365)*DZ63)))*(1-EXP(-($N63+Stoff!$M63*365)*DZ63)))</f>
        <v>#VALUE!</v>
      </c>
      <c r="EB63" s="294" t="e">
        <f t="shared" si="10"/>
        <v>#VALUE!</v>
      </c>
      <c r="EC63" s="296" t="e">
        <f>(EB63/1000000)*('1a. Spredningsmodell input'!$B$49)*'1a. Spredningsmodell input'!$C$35</f>
        <v>#VALUE!</v>
      </c>
      <c r="ED63" s="294" t="e">
        <f t="shared" si="11"/>
        <v>#VALUE!</v>
      </c>
      <c r="EE63" s="290" t="e">
        <f>(ED63/1000000)*('1a. Spredningsmodell input'!$B$49)*'1a. Spredningsmodell input'!$C$35</f>
        <v>#VALUE!</v>
      </c>
      <c r="EF63" s="297" t="e">
        <f>($S63)*EXP(-(Stoff!$N63*365+$U63)*DZ63)+EC63</f>
        <v>#VALUE!</v>
      </c>
      <c r="EG63" s="297" t="e">
        <f>(Stoff!$P63*$S63+EE63)*EXP(-$T63*DZ63)</f>
        <v>#VALUE!</v>
      </c>
      <c r="EH63" s="297" t="e">
        <f>(EF63+EG63)*1000000000/('1a. Spredningsmodell input'!$C$36*1000)</f>
        <v>#VALUE!</v>
      </c>
      <c r="EI63" s="297" t="e">
        <f>$G63*(1-EXP(-'1a. Spredningsmodell input'!$B$43*Mellomregninger!DZ63))*(1-EXP(-'1a. Spredningsmodell input'!$B$46*Mellomregninger!DZ63))</f>
        <v>#VALUE!</v>
      </c>
      <c r="EJ63" s="297"/>
      <c r="EK63" s="297"/>
      <c r="EL63" s="262">
        <f t="shared" si="31"/>
        <v>1.0000000000000001E+25</v>
      </c>
      <c r="EM63" s="294" t="e">
        <f>($S63+$Q63*($O63+$I63*($D63*(1-Stoff!$P63))*(1-EXP(-($F63+Stoff!$L63*365)*EL63)))*(1-EXP(-($N63+Stoff!$M63*365)*EL63)))</f>
        <v>#VALUE!</v>
      </c>
      <c r="EN63" s="296" t="e">
        <f>($S63+$Q63*($O63+$I63*($D63*(1-Stoff!$P63))*(1-EXP(-($F63+Stoff!$L63*365)*(EL63-'1a. Spredningsmodell input'!$C$35))))*(1-EXP(-($N63+Stoff!$M63*365)*(EL63-'1a. Spredningsmodell input'!$C$35))))</f>
        <v>#VALUE!</v>
      </c>
      <c r="EO63" s="294" t="e">
        <f>IF(EL63&lt;'1a. Spredningsmodell input'!$C$35,EM63-($S63)*EXP(-(Stoff!$N63*365+$U63)*EL63),EM63-EN63)</f>
        <v>#VALUE!</v>
      </c>
      <c r="EP63" s="290" t="e">
        <f>((($D63*(Stoff!$P63))*(1-EXP(-'1a. Spredningsmodell input'!$B$43*EL63)))*(1-EXP(-'1a. Spredningsmodell input'!$B$46*EL63)))</f>
        <v>#VALUE!</v>
      </c>
      <c r="EQ63" s="294" t="e">
        <f>((($D63*(Stoff!$P63))*(1-EXP(-'1a. Spredningsmodell input'!$B$43*(EL63-'1a. Spredningsmodell input'!$C$35))))*(1-EXP(-'1a. Spredningsmodell input'!$B$46*(EL63-'1a. Spredningsmodell input'!$C$35))))</f>
        <v>#VALUE!</v>
      </c>
      <c r="ER63" s="290" t="e">
        <f>IF(EL63&lt;'1a. Spredningsmodell input'!$C$35,0,EP63-EQ63)</f>
        <v>#VALUE!</v>
      </c>
      <c r="ES63" s="297" t="e">
        <f>($S63)*EXP(-(Stoff!$N63*365+$U63)*EL63)+EO63</f>
        <v>#VALUE!</v>
      </c>
      <c r="ET63" s="297" t="e">
        <f>(Stoff!$P63*$S63+ER63)*EXP(-$T63*EL63)</f>
        <v>#VALUE!</v>
      </c>
      <c r="EU63" s="297" t="e">
        <f>(ES63+ET63)*1000000000/('1a. Spredningsmodell input'!$C$36*1000)</f>
        <v>#VALUE!</v>
      </c>
      <c r="EV63" s="262" t="e">
        <f t="shared" si="32"/>
        <v>#VALUE!</v>
      </c>
      <c r="EW63" s="299" t="e">
        <f t="shared" si="33"/>
        <v>#VALUE!</v>
      </c>
      <c r="EX63" s="262" t="e">
        <f t="shared" si="34"/>
        <v>#VALUE!</v>
      </c>
    </row>
    <row r="64" spans="1:154" x14ac:dyDescent="0.35">
      <c r="A64" s="50" t="s">
        <v>146</v>
      </c>
      <c r="B64" s="34" t="str">
        <f>IF(ISNUMBER('1c. Kons. porevann'!E64),1000*'1c. Kons. porevann'!E64,IF(ISNUMBER('1b. Kons. umettet jord'!E64),1000*'1b. Kons. umettet jord'!E64/C64,""))</f>
        <v/>
      </c>
      <c r="C64" s="244">
        <f>IF(Stoff!B64="uorganisk",Stoff!C64,Stoff!D64*'1a. Spredningsmodell input'!$C$11)</f>
        <v>2500</v>
      </c>
      <c r="D64" s="34" t="str">
        <f>IF(ISNUMBER(B64),0.000001*('1b. Kons. umettet jord'!G64*'1a. Spredningsmodell input'!$C$12+B64*0.001*'1a. Spredningsmodell input'!$C$14)*1000*'1a. Spredningsmodell input'!$B$41*'1a. Spredningsmodell input'!$C$18,"")</f>
        <v/>
      </c>
      <c r="E64" s="283">
        <f>C64*'1a. Spredningsmodell input'!$C$12/'1a. Spredningsmodell input'!$C$14+1</f>
        <v>21251</v>
      </c>
      <c r="F64" s="284">
        <f>'1a. Spredningsmodell input'!$B$43/E64</f>
        <v>7.0584913651122288E-5</v>
      </c>
      <c r="G64" s="34" t="e">
        <f>Stoff!P64*Mellomregninger!D64</f>
        <v>#VALUE!</v>
      </c>
      <c r="H64" s="283" t="e">
        <f>(D64-G64)*(F64/(F64+Stoff!L64))</f>
        <v>#VALUE!</v>
      </c>
      <c r="I64" s="283">
        <f>F64/(F64+Stoff!L64)</f>
        <v>1</v>
      </c>
      <c r="J64" s="285" t="str">
        <f>IF(B64="","",IF(ISNUMBER('1d. Kons. mettet sone'!E64),'1d. Kons. mettet sone'!E64,IF(ISNUMBER('1e. Kons. grunnvann'!E64),'1e. Kons. grunnvann'!E64*Mellomregninger!K64,0)))</f>
        <v/>
      </c>
      <c r="K64" s="286">
        <f>IF(Stoff!B64="uorganisk",Stoff!C64,Stoff!D64*'1a. Spredningsmodell input'!$C$24)</f>
        <v>250</v>
      </c>
      <c r="L64" s="27" t="e">
        <f>IF(ISNUMBER('1e. Kons. grunnvann'!E64),1000*'1e. Kons. grunnvann'!E64,1000*J64/K64)</f>
        <v>#VALUE!</v>
      </c>
      <c r="M64" s="34">
        <f>K64*'1a. Spredningsmodell input'!$C$25/'1a. Spredningsmodell input'!$C$26+1</f>
        <v>1063.5</v>
      </c>
      <c r="N64" s="284">
        <f>'1a. Spredningsmodell input'!$C$26/M64</f>
        <v>3.7611659614480492E-4</v>
      </c>
      <c r="O64" s="287" t="e">
        <f>0.000000001*(J64*'1a. Spredningsmodell input'!$C$25+L64)*1000*'1a. Spredningsmodell input'!$B$45</f>
        <v>#VALUE!</v>
      </c>
      <c r="P64" s="287" t="e">
        <f>O64*Stoff!P64</f>
        <v>#VALUE!</v>
      </c>
      <c r="Q64" s="287">
        <f>N64/(N64+Stoff!M64)</f>
        <v>1</v>
      </c>
      <c r="R64" s="288">
        <f>IF(ISNUMBER('1f. Kons. resipient'!E64),'1f. Kons. resipient'!E64,0)</f>
        <v>0</v>
      </c>
      <c r="S64" s="288">
        <f>0.000000001*'1a. Spredningsmodell input'!$C$36*R64*1000</f>
        <v>0</v>
      </c>
      <c r="T64" s="288">
        <f>1/'1a. Spredningsmodell input'!$C$35</f>
        <v>1</v>
      </c>
      <c r="U64" s="288">
        <f>1/'1a. Spredningsmodell input'!$C$35</f>
        <v>1</v>
      </c>
      <c r="V64" s="300" t="e">
        <f>(1/($N64+Stoff!$L64))*(LN(($D64*$I64/($D64*$I64+$J64))*($F64+Stoff!$L64+$N64+Stoff!$M64)/($N64+Stoff!$M64)))</f>
        <v>#VALUE!</v>
      </c>
      <c r="W64" s="290" t="e">
        <f>($D64-Stoff!$P64*$D64)*EXP(-($F64+Stoff!$L64*365)*V64)</f>
        <v>#VALUE!</v>
      </c>
      <c r="X64" s="291" t="e">
        <f>(Stoff!$P64*$D64)*EXP(-'1a. Spredningsmodell input'!$B$43*V64)</f>
        <v>#VALUE!</v>
      </c>
      <c r="Y64" s="290" t="e">
        <f>($D64-Stoff!$P64*$D64-W64)*($F64/($F64+Stoff!$L64*365))</f>
        <v>#VALUE!</v>
      </c>
      <c r="Z64" s="290" t="e">
        <f>(Stoff!$P64*$D64)-X64</f>
        <v>#VALUE!</v>
      </c>
      <c r="AA64" s="290" t="e">
        <f>($O64+Y64)*EXP(-($N64+Stoff!$M64*365)*V64)</f>
        <v>#VALUE!</v>
      </c>
      <c r="AB64" s="290" t="e">
        <f>(Stoff!$P64*$O64+Z64)*EXP(-('1a. Spredningsmodell input'!$B$46)*V64)</f>
        <v>#VALUE!</v>
      </c>
      <c r="AC64" s="292" t="e">
        <f>((AA64+AB64)*1000000000)/('1a. Spredningsmodell input'!$B$45*1000)</f>
        <v>#VALUE!</v>
      </c>
      <c r="AD64" s="294" t="e">
        <f>0.001*AC64/('1a. Spredningsmodell input'!$C$25+'1a. Spredningsmodell input'!$C$26/Mellomregninger!$K64)</f>
        <v>#VALUE!</v>
      </c>
      <c r="AE64" s="294" t="e">
        <f>1000*AD64/$K64+AB64*1000000000/('1a. Spredningsmodell input'!$B$45*1000)</f>
        <v>#VALUE!</v>
      </c>
      <c r="AF64" s="294" t="e">
        <f t="shared" si="0"/>
        <v>#VALUE!</v>
      </c>
      <c r="AG64" s="294" t="e">
        <f>AB64*1000000000/('1a. Spredningsmodell input'!$B$45*1000)</f>
        <v>#VALUE!</v>
      </c>
      <c r="AH64" s="300" t="e">
        <f>(1/('1a. Spredningsmodell input'!$B$46))*(LN(($D64*Stoff!$P64/($D64*Stoff!$P64+$P64*Stoff!$P64))*('1a. Spredningsmodell input'!$B$43+'1a. Spredningsmodell input'!$B$46)/('1a. Spredningsmodell input'!$B$46)))</f>
        <v>#VALUE!</v>
      </c>
      <c r="AI64" s="290" t="e">
        <f>($D64-Stoff!$P64*$D64)*EXP(-($F64+Stoff!$L64*365)*AH64)</f>
        <v>#VALUE!</v>
      </c>
      <c r="AJ64" s="291" t="e">
        <f>(Stoff!$P64*$D64)*EXP(-'1a. Spredningsmodell input'!$B$43*AH64)</f>
        <v>#VALUE!</v>
      </c>
      <c r="AK64" s="290" t="e">
        <f>($D64-Stoff!$P64*$D64-AI64)*($F64/($F64+Stoff!$L64*365))</f>
        <v>#VALUE!</v>
      </c>
      <c r="AL64" s="290" t="e">
        <f>(Stoff!$P64*$D64)-AJ64</f>
        <v>#VALUE!</v>
      </c>
      <c r="AM64" s="290" t="e">
        <f>($O64+AK64)*EXP(-($N64+Stoff!$M64*365)*AH64)</f>
        <v>#VALUE!</v>
      </c>
      <c r="AN64" s="290" t="e">
        <f>(Stoff!$P64*$O64+AL64)*EXP(-('1a. Spredningsmodell input'!$B$46)*AH64)</f>
        <v>#VALUE!</v>
      </c>
      <c r="AO64" s="292" t="e">
        <f>((AM64+AN64)*1000000000)/('1a. Spredningsmodell input'!$B$45*1000)</f>
        <v>#VALUE!</v>
      </c>
      <c r="AP64" s="294" t="e">
        <f>0.001*AO64/('1a. Spredningsmodell input'!$C$25+'1a. Spredningsmodell input'!$C$26/Mellomregninger!$K64)</f>
        <v>#VALUE!</v>
      </c>
      <c r="AQ64" s="294" t="e">
        <f>1000*AP64/$K64+AN64*1000000000/('1a. Spredningsmodell input'!$B$45*1000)</f>
        <v>#VALUE!</v>
      </c>
      <c r="AR64" s="294" t="e">
        <f t="shared" si="1"/>
        <v>#VALUE!</v>
      </c>
      <c r="AS64" s="294" t="e">
        <f>AN64*1000000000/('1a. Spredningsmodell input'!$B$45*1000)</f>
        <v>#VALUE!</v>
      </c>
      <c r="AT64" s="295">
        <f t="shared" si="25"/>
        <v>5</v>
      </c>
      <c r="AU64" s="290" t="e">
        <f>($D64-Stoff!$P64*$D64)*EXP(-($F64+Stoff!$L64*365)*AT64)</f>
        <v>#VALUE!</v>
      </c>
      <c r="AV64" s="291" t="e">
        <f>(Stoff!$P64*$D64)*EXP(-'1a. Spredningsmodell input'!$B$43*AT64)</f>
        <v>#VALUE!</v>
      </c>
      <c r="AW64" s="290" t="e">
        <f>($D64-Stoff!$P64*$D64-AU64)*($F64/($F64+Stoff!$L64*365))</f>
        <v>#VALUE!</v>
      </c>
      <c r="AX64" s="290" t="e">
        <f>(Stoff!$P64*$D64)-AV64</f>
        <v>#VALUE!</v>
      </c>
      <c r="AY64" s="290" t="e">
        <f>($O64+AW64)*EXP(-($N64+Stoff!$M64*365)*AT64)</f>
        <v>#VALUE!</v>
      </c>
      <c r="AZ64" s="290" t="e">
        <f>(Stoff!$P64*$O64+AX64)*EXP(-('1a. Spredningsmodell input'!$B$46)*AT64)</f>
        <v>#VALUE!</v>
      </c>
      <c r="BA64" s="292" t="e">
        <f>((AY64+AZ64)*1000000000)/('1a. Spredningsmodell input'!$B$45*1000)</f>
        <v>#VALUE!</v>
      </c>
      <c r="BB64" s="294" t="e">
        <f>0.001*BA64/('1a. Spredningsmodell input'!$C$25+'1a. Spredningsmodell input'!$C$26/Mellomregninger!$K64)</f>
        <v>#VALUE!</v>
      </c>
      <c r="BC64" s="294" t="e">
        <f>1000*BB64/$K64+AZ64*1000000000/('1a. Spredningsmodell input'!$B$45*1000)</f>
        <v>#VALUE!</v>
      </c>
      <c r="BD64" s="294" t="e">
        <f t="shared" si="2"/>
        <v>#VALUE!</v>
      </c>
      <c r="BE64" s="294" t="e">
        <f>AZ64*1000000000/('1a. Spredningsmodell input'!$B$45*1000)</f>
        <v>#VALUE!</v>
      </c>
      <c r="BF64" s="295">
        <f t="shared" si="26"/>
        <v>20</v>
      </c>
      <c r="BG64" s="290" t="e">
        <f>($D64-Stoff!$P64*$D64)*EXP(-($F64+Stoff!$L64*365)*BF64)</f>
        <v>#VALUE!</v>
      </c>
      <c r="BH64" s="291" t="e">
        <f>(Stoff!$P64*$D64)*EXP(-'1a. Spredningsmodell input'!$B$43*BF64)</f>
        <v>#VALUE!</v>
      </c>
      <c r="BI64" s="290" t="e">
        <f>($D64-Stoff!$P64*$D64-BG64)*($F64/($F64+Stoff!$L64*365))</f>
        <v>#VALUE!</v>
      </c>
      <c r="BJ64" s="290" t="e">
        <f>(Stoff!$P64*$D64)-BH64</f>
        <v>#VALUE!</v>
      </c>
      <c r="BK64" s="290" t="e">
        <f>($O64+BI64)*EXP(-($N64+Stoff!$M64*365)*BF64)</f>
        <v>#VALUE!</v>
      </c>
      <c r="BL64" s="290" t="e">
        <f>(Stoff!$P64*$O64+BJ64)*EXP(-('1a. Spredningsmodell input'!$B$46)*BF64)</f>
        <v>#VALUE!</v>
      </c>
      <c r="BM64" s="292" t="e">
        <f>((BK64+BL64)*1000000000)/('1a. Spredningsmodell input'!$B$45*1000)</f>
        <v>#VALUE!</v>
      </c>
      <c r="BN64" s="294" t="e">
        <f>0.001*BM64/('1a. Spredningsmodell input'!$C$25+'1a. Spredningsmodell input'!$C$26/Mellomregninger!$K64)</f>
        <v>#VALUE!</v>
      </c>
      <c r="BO64" s="294" t="e">
        <f>1000*BN64/$K64+BL64*1000000000/('1a. Spredningsmodell input'!$B$45*1000)</f>
        <v>#VALUE!</v>
      </c>
      <c r="BP64" s="294" t="e">
        <f t="shared" si="3"/>
        <v>#VALUE!</v>
      </c>
      <c r="BQ64" s="294" t="e">
        <f>BL64*1000000000/('1a. Spredningsmodell input'!$B$45*1000)</f>
        <v>#VALUE!</v>
      </c>
      <c r="BR64" s="295">
        <f t="shared" si="27"/>
        <v>100</v>
      </c>
      <c r="BS64" s="290" t="e">
        <f>($D64-Stoff!$P64*$D64)*EXP(-($F64+Stoff!$L64*365)*BR64)</f>
        <v>#VALUE!</v>
      </c>
      <c r="BT64" s="291" t="e">
        <f>(Stoff!$P64*$D64)*EXP(-'1a. Spredningsmodell input'!$B$43*BR64)</f>
        <v>#VALUE!</v>
      </c>
      <c r="BU64" s="290" t="e">
        <f>($D64-Stoff!$P64*$D64-BS64)*($F64/($F64+Stoff!$L64*365))</f>
        <v>#VALUE!</v>
      </c>
      <c r="BV64" s="290" t="e">
        <f>(Stoff!$P64*$D64)-BT64</f>
        <v>#VALUE!</v>
      </c>
      <c r="BW64" s="290" t="e">
        <f>($O64+BU64)*EXP(-($N64+Stoff!$M64*365)*BR64)</f>
        <v>#VALUE!</v>
      </c>
      <c r="BX64" s="290" t="e">
        <f>(Stoff!$P64*$O64+BV64)*EXP(-('1a. Spredningsmodell input'!$B$46)*BR64)</f>
        <v>#VALUE!</v>
      </c>
      <c r="BY64" s="292" t="e">
        <f>((BW64+BX64)*1000000000)/('1a. Spredningsmodell input'!$B$45*1000)</f>
        <v>#VALUE!</v>
      </c>
      <c r="BZ64" s="294" t="e">
        <f>0.001*BY64/('1a. Spredningsmodell input'!$C$25+'1a. Spredningsmodell input'!$C$26/Mellomregninger!$K64)</f>
        <v>#VALUE!</v>
      </c>
      <c r="CA64" s="294" t="e">
        <f>1000*BZ64/$K64+BX64*1000000000/('1a. Spredningsmodell input'!$B$45*1000)</f>
        <v>#VALUE!</v>
      </c>
      <c r="CB64" s="294" t="e">
        <f t="shared" si="4"/>
        <v>#VALUE!</v>
      </c>
      <c r="CC64" s="294" t="e">
        <f>BX64*1000000000/('1a. Spredningsmodell input'!$B$45*1000)</f>
        <v>#VALUE!</v>
      </c>
      <c r="CD64" s="294" t="e">
        <f>V64+'1a. Spredningsmodell input'!$C$35</f>
        <v>#VALUE!</v>
      </c>
      <c r="CE64" s="294" t="e">
        <f>($S64+$Q64*($O64+$I64*($D64*(1-Stoff!$P64))*(1-EXP(-($F64+Stoff!$L64*365)*CD64)))*(1-EXP(-($N64+Stoff!$M64*365)*CD64)))</f>
        <v>#VALUE!</v>
      </c>
      <c r="CF64" s="294" t="e">
        <f t="shared" si="5"/>
        <v>#VALUE!</v>
      </c>
      <c r="CG64" s="296" t="e">
        <f>(CF64/1000000)*'1a. Spredningsmodell input'!$B$49*'1a. Spredningsmodell input'!$C$35</f>
        <v>#VALUE!</v>
      </c>
      <c r="CH64" s="294" t="e">
        <f t="shared" si="17"/>
        <v>#VALUE!</v>
      </c>
      <c r="CI64" s="290" t="e">
        <f>(CH64/1000000)*'1a. Spredningsmodell input'!$B$49*'1a. Spredningsmodell input'!$C$35</f>
        <v>#VALUE!</v>
      </c>
      <c r="CJ64" s="297" t="e">
        <f>($S64)*EXP(-(Stoff!$N64*365+$U64)*CD64)+CG64</f>
        <v>#VALUE!</v>
      </c>
      <c r="CK64" s="297" t="e">
        <f>(Stoff!$P64*$S64+CI64)*EXP(-$T64*CD64)</f>
        <v>#VALUE!</v>
      </c>
      <c r="CL64" s="297" t="e">
        <f>(CJ64+CK64)*1000000000/('1a. Spredningsmodell input'!$C$36*1000)</f>
        <v>#VALUE!</v>
      </c>
      <c r="CM64" s="297" t="e">
        <f>$G64*(1-EXP(-'1a. Spredningsmodell input'!$B$43*Mellomregninger!CD64))*(1-EXP(-'1a. Spredningsmodell input'!$B$46*Mellomregninger!CD64))</f>
        <v>#VALUE!</v>
      </c>
      <c r="CN64" s="297"/>
      <c r="CO64" s="297"/>
      <c r="CP64" s="290">
        <f>IF(ISNUMBER(AH64),AH64+'1a. Spredningsmodell input'!$C$35,'1a. Spredningsmodell input'!$C$35)</f>
        <v>1</v>
      </c>
      <c r="CQ64" s="294" t="e">
        <f>($S64+$Q64*($O64+$I64*($D64*(1-Stoff!$P64))*(1-EXP(-($F64+Stoff!$L64*365)*CP64)))*(1-EXP(-($N64+Stoff!$M64*365)*CP64)))</f>
        <v>#VALUE!</v>
      </c>
      <c r="CR64" s="294" t="e">
        <f t="shared" si="6"/>
        <v>#VALUE!</v>
      </c>
      <c r="CS64" s="296" t="e">
        <f>(CR64/1000000)*('1a. Spredningsmodell input'!$B$49*'1a. Spredningsmodell input'!$C$35)</f>
        <v>#VALUE!</v>
      </c>
      <c r="CT64" s="294" t="e">
        <f t="shared" si="7"/>
        <v>#VALUE!</v>
      </c>
      <c r="CU64" s="290" t="e">
        <f>(CT64/1000000)*('1a. Spredningsmodell input'!$B$49)*'1a. Spredningsmodell input'!$C$35</f>
        <v>#VALUE!</v>
      </c>
      <c r="CV64" s="297" t="e">
        <f>($S64)*EXP(-(Stoff!$N64*365+$U64)*CP64)+CS64</f>
        <v>#VALUE!</v>
      </c>
      <c r="CW64" s="297" t="e">
        <f>(Stoff!$P64*$S64+CU64)*EXP(-$T64*CP64)</f>
        <v>#VALUE!</v>
      </c>
      <c r="CX64" s="297">
        <f>IF(ISERROR(CV64),0,(CV64+CW64)*1000000000/('1a. Spredningsmodell input'!$C$36*1000))</f>
        <v>0</v>
      </c>
      <c r="CY64" s="297" t="e">
        <f>$G64*(1-EXP(-'1a. Spredningsmodell input'!$B$43*Mellomregninger!CP64))*(1-EXP(-'1a. Spredningsmodell input'!$B$46*Mellomregninger!CP64))</f>
        <v>#VALUE!</v>
      </c>
      <c r="CZ64" s="297"/>
      <c r="DA64" s="297"/>
      <c r="DB64" s="262">
        <f t="shared" si="28"/>
        <v>5</v>
      </c>
      <c r="DC64" s="298" t="e">
        <f>($S64+$Q64*($O64+$I64*($D64*(1-Stoff!$P64))*(1-EXP(-($F64+Stoff!$L64*365)*DB64)))*(1-EXP(-($N64+Stoff!$M64*365)*DB64)))</f>
        <v>#VALUE!</v>
      </c>
      <c r="DD64" s="294" t="e">
        <f t="shared" si="8"/>
        <v>#VALUE!</v>
      </c>
      <c r="DE64" s="296" t="e">
        <f>(DD64/1000000)*('1a. Spredningsmodell input'!$B$49)*'1a. Spredningsmodell input'!$C$35</f>
        <v>#VALUE!</v>
      </c>
      <c r="DF64" s="294" t="e">
        <f t="shared" si="19"/>
        <v>#VALUE!</v>
      </c>
      <c r="DG64" s="290" t="e">
        <f>(DF64/1000000)*('1a. Spredningsmodell input'!$B$49)*'1a. Spredningsmodell input'!$C$35</f>
        <v>#VALUE!</v>
      </c>
      <c r="DH64" s="297" t="e">
        <f>($S64)*EXP(-(Stoff!$N64*365+$U64)*DB64)+DE64</f>
        <v>#VALUE!</v>
      </c>
      <c r="DI64" s="297" t="e">
        <f>(Stoff!$P64*$S64+DG64)*EXP(-$T64*DB64)</f>
        <v>#VALUE!</v>
      </c>
      <c r="DJ64" s="297" t="e">
        <f>(DH64+DI64)*1000000000/('1a. Spredningsmodell input'!$C$36*1000)</f>
        <v>#VALUE!</v>
      </c>
      <c r="DK64" s="297" t="e">
        <f>$G64*(1-EXP(-'1a. Spredningsmodell input'!$B$43*Mellomregninger!DB64))*(1-EXP(-'1a. Spredningsmodell input'!$B$46*Mellomregninger!DB64))</f>
        <v>#VALUE!</v>
      </c>
      <c r="DL64" s="297"/>
      <c r="DM64" s="297"/>
      <c r="DN64" s="262">
        <f t="shared" si="29"/>
        <v>20</v>
      </c>
      <c r="DO64" s="298" t="e">
        <f>($S64+$Q64*($O64+$I64*($D64*(1-Stoff!$P64))*(1-EXP(-($F64+Stoff!$L64*365)*DN64)))*(1-EXP(-($N64+Stoff!$M64*365)*DN64)))</f>
        <v>#VALUE!</v>
      </c>
      <c r="DP64" s="294" t="e">
        <f t="shared" si="21"/>
        <v>#VALUE!</v>
      </c>
      <c r="DQ64" s="296" t="e">
        <f>(DP64/1000000)*('1a. Spredningsmodell input'!$B$49)*'1a. Spredningsmodell input'!$C$35</f>
        <v>#VALUE!</v>
      </c>
      <c r="DR64" s="294" t="e">
        <f t="shared" si="9"/>
        <v>#VALUE!</v>
      </c>
      <c r="DS64" s="290" t="e">
        <f>(DR64/1000000)*('1a. Spredningsmodell input'!$B$49)*'1a. Spredningsmodell input'!$C$35</f>
        <v>#VALUE!</v>
      </c>
      <c r="DT64" s="297" t="e">
        <f>($S64)*EXP(-(Stoff!$N64*365+$U64)*DN64)+DQ64</f>
        <v>#VALUE!</v>
      </c>
      <c r="DU64" s="297" t="e">
        <f>(Stoff!$P64*$S64+DS64)*EXP(-$T64*DN64)</f>
        <v>#VALUE!</v>
      </c>
      <c r="DV64" s="297" t="e">
        <f>(DT64+DU64)*1000000000/('1a. Spredningsmodell input'!$C$36*1000)</f>
        <v>#VALUE!</v>
      </c>
      <c r="DW64" s="297" t="e">
        <f>$G64*(1-EXP(-'1a. Spredningsmodell input'!$B$43*Mellomregninger!DN64))*(1-EXP(-'1a. Spredningsmodell input'!$B$46*Mellomregninger!DN64))</f>
        <v>#VALUE!</v>
      </c>
      <c r="DX64" s="297"/>
      <c r="DY64" s="297"/>
      <c r="DZ64" s="262">
        <f t="shared" si="30"/>
        <v>100</v>
      </c>
      <c r="EA64" s="298" t="e">
        <f>($S64+$Q64*($O64+$I64*($D64*(1-Stoff!$P64))*(1-EXP(-($F64+Stoff!$L64*365)*DZ64)))*(1-EXP(-($N64+Stoff!$M64*365)*DZ64)))</f>
        <v>#VALUE!</v>
      </c>
      <c r="EB64" s="294" t="e">
        <f t="shared" si="10"/>
        <v>#VALUE!</v>
      </c>
      <c r="EC64" s="296" t="e">
        <f>(EB64/1000000)*('1a. Spredningsmodell input'!$B$49)*'1a. Spredningsmodell input'!$C$35</f>
        <v>#VALUE!</v>
      </c>
      <c r="ED64" s="294" t="e">
        <f t="shared" si="11"/>
        <v>#VALUE!</v>
      </c>
      <c r="EE64" s="290" t="e">
        <f>(ED64/1000000)*('1a. Spredningsmodell input'!$B$49)*'1a. Spredningsmodell input'!$C$35</f>
        <v>#VALUE!</v>
      </c>
      <c r="EF64" s="297" t="e">
        <f>($S64)*EXP(-(Stoff!$N64*365+$U64)*DZ64)+EC64</f>
        <v>#VALUE!</v>
      </c>
      <c r="EG64" s="297" t="e">
        <f>(Stoff!$P64*$S64+EE64)*EXP(-$T64*DZ64)</f>
        <v>#VALUE!</v>
      </c>
      <c r="EH64" s="297" t="e">
        <f>(EF64+EG64)*1000000000/('1a. Spredningsmodell input'!$C$36*1000)</f>
        <v>#VALUE!</v>
      </c>
      <c r="EI64" s="297" t="e">
        <f>$G64*(1-EXP(-'1a. Spredningsmodell input'!$B$43*Mellomregninger!DZ64))*(1-EXP(-'1a. Spredningsmodell input'!$B$46*Mellomregninger!DZ64))</f>
        <v>#VALUE!</v>
      </c>
      <c r="EJ64" s="297"/>
      <c r="EK64" s="297"/>
      <c r="EL64" s="262">
        <f t="shared" si="31"/>
        <v>1.0000000000000001E+25</v>
      </c>
      <c r="EM64" s="294" t="e">
        <f>($S64+$Q64*($O64+$I64*($D64*(1-Stoff!$P64))*(1-EXP(-($F64+Stoff!$L64*365)*EL64)))*(1-EXP(-($N64+Stoff!$M64*365)*EL64)))</f>
        <v>#VALUE!</v>
      </c>
      <c r="EN64" s="296" t="e">
        <f>($S64+$Q64*($O64+$I64*($D64*(1-Stoff!$P64))*(1-EXP(-($F64+Stoff!$L64*365)*(EL64-'1a. Spredningsmodell input'!$C$35))))*(1-EXP(-($N64+Stoff!$M64*365)*(EL64-'1a. Spredningsmodell input'!$C$35))))</f>
        <v>#VALUE!</v>
      </c>
      <c r="EO64" s="294" t="e">
        <f>IF(EL64&lt;'1a. Spredningsmodell input'!$C$35,EM64-($S64)*EXP(-(Stoff!$N64*365+$U64)*EL64),EM64-EN64)</f>
        <v>#VALUE!</v>
      </c>
      <c r="EP64" s="290" t="e">
        <f>((($D64*(Stoff!$P64))*(1-EXP(-'1a. Spredningsmodell input'!$B$43*EL64)))*(1-EXP(-'1a. Spredningsmodell input'!$B$46*EL64)))</f>
        <v>#VALUE!</v>
      </c>
      <c r="EQ64" s="294" t="e">
        <f>((($D64*(Stoff!$P64))*(1-EXP(-'1a. Spredningsmodell input'!$B$43*(EL64-'1a. Spredningsmodell input'!$C$35))))*(1-EXP(-'1a. Spredningsmodell input'!$B$46*(EL64-'1a. Spredningsmodell input'!$C$35))))</f>
        <v>#VALUE!</v>
      </c>
      <c r="ER64" s="290" t="e">
        <f>IF(EL64&lt;'1a. Spredningsmodell input'!$C$35,0,EP64-EQ64)</f>
        <v>#VALUE!</v>
      </c>
      <c r="ES64" s="297" t="e">
        <f>($S64)*EXP(-(Stoff!$N64*365+$U64)*EL64)+EO64</f>
        <v>#VALUE!</v>
      </c>
      <c r="ET64" s="297" t="e">
        <f>(Stoff!$P64*$S64+ER64)*EXP(-$T64*EL64)</f>
        <v>#VALUE!</v>
      </c>
      <c r="EU64" s="297" t="e">
        <f>(ES64+ET64)*1000000000/('1a. Spredningsmodell input'!$C$36*1000)</f>
        <v>#VALUE!</v>
      </c>
      <c r="EV64" s="262" t="e">
        <f t="shared" si="32"/>
        <v>#VALUE!</v>
      </c>
      <c r="EW64" s="299" t="e">
        <f t="shared" si="33"/>
        <v>#VALUE!</v>
      </c>
      <c r="EX64" s="262" t="e">
        <f t="shared" si="34"/>
        <v>#VALUE!</v>
      </c>
    </row>
    <row r="65" spans="1:154" x14ac:dyDescent="0.35">
      <c r="A65" s="50" t="s">
        <v>145</v>
      </c>
      <c r="B65" s="34" t="str">
        <f>IF(ISNUMBER('1c. Kons. porevann'!E65),1000*'1c. Kons. porevann'!E65,IF(ISNUMBER('1b. Kons. umettet jord'!E65),1000*'1b. Kons. umettet jord'!E65/C65,""))</f>
        <v/>
      </c>
      <c r="C65" s="244">
        <f>IF(Stoff!B65="uorganisk",Stoff!C65,Stoff!D65*'1a. Spredningsmodell input'!$C$11)</f>
        <v>10000000</v>
      </c>
      <c r="D65" s="34" t="str">
        <f>IF(ISNUMBER(B65),0.000001*('1b. Kons. umettet jord'!G65*'1a. Spredningsmodell input'!$C$12+B65*0.001*'1a. Spredningsmodell input'!$C$14)*1000*'1a. Spredningsmodell input'!$B$41*'1a. Spredningsmodell input'!$C$18,"")</f>
        <v/>
      </c>
      <c r="E65" s="283">
        <f>C65*'1a. Spredningsmodell input'!$C$12/'1a. Spredningsmodell input'!$C$14+1</f>
        <v>85000001</v>
      </c>
      <c r="F65" s="284">
        <f>'1a. Spredningsmodell input'!$B$43/E65</f>
        <v>1.7647058615916955E-8</v>
      </c>
      <c r="G65" s="34" t="e">
        <f>Stoff!P65*Mellomregninger!D65</f>
        <v>#VALUE!</v>
      </c>
      <c r="H65" s="283" t="e">
        <f>(D65-G65)*(F65/(F65+Stoff!L65))</f>
        <v>#VALUE!</v>
      </c>
      <c r="I65" s="283">
        <f>F65/(F65+Stoff!L65)</f>
        <v>1</v>
      </c>
      <c r="J65" s="285" t="str">
        <f>IF(B65="","",IF(ISNUMBER('1d. Kons. mettet sone'!E65),'1d. Kons. mettet sone'!E65,IF(ISNUMBER('1e. Kons. grunnvann'!E65),'1e. Kons. grunnvann'!E65*Mellomregninger!K65,0)))</f>
        <v/>
      </c>
      <c r="K65" s="286">
        <f>IF(Stoff!B65="uorganisk",Stoff!C65,Stoff!D65*'1a. Spredningsmodell input'!$C$24)</f>
        <v>1000000</v>
      </c>
      <c r="L65" s="27" t="e">
        <f>IF(ISNUMBER('1e. Kons. grunnvann'!E65),1000*'1e. Kons. grunnvann'!E65,1000*J65/K65)</f>
        <v>#VALUE!</v>
      </c>
      <c r="M65" s="34">
        <f>K65*'1a. Spredningsmodell input'!$C$25/'1a. Spredningsmodell input'!$C$26+1</f>
        <v>4250001</v>
      </c>
      <c r="N65" s="284">
        <f>'1a. Spredningsmodell input'!$C$26/M65</f>
        <v>9.4117624913500028E-8</v>
      </c>
      <c r="O65" s="287" t="e">
        <f>0.000000001*(J65*'1a. Spredningsmodell input'!$C$25+L65)*1000*'1a. Spredningsmodell input'!$B$45</f>
        <v>#VALUE!</v>
      </c>
      <c r="P65" s="287" t="e">
        <f>O65*Stoff!P65</f>
        <v>#VALUE!</v>
      </c>
      <c r="Q65" s="287">
        <f>N65/(N65+Stoff!M65)</f>
        <v>1</v>
      </c>
      <c r="R65" s="288">
        <f>IF(ISNUMBER('1f. Kons. resipient'!E65),'1f. Kons. resipient'!E65,0)</f>
        <v>0</v>
      </c>
      <c r="S65" s="288">
        <f>0.000000001*'1a. Spredningsmodell input'!$C$36*R65*1000</f>
        <v>0</v>
      </c>
      <c r="T65" s="288">
        <f>1/'1a. Spredningsmodell input'!$C$35</f>
        <v>1</v>
      </c>
      <c r="U65" s="288">
        <f>1/'1a. Spredningsmodell input'!$C$35</f>
        <v>1</v>
      </c>
      <c r="V65" s="300" t="e">
        <f>(1/($N65+Stoff!$L65))*(LN(($D65*$I65/($D65*$I65+$J65))*($F65+Stoff!$L65+$N65+Stoff!$M65)/($N65+Stoff!$M65)))</f>
        <v>#VALUE!</v>
      </c>
      <c r="W65" s="290" t="e">
        <f>($D65-Stoff!$P65*$D65)*EXP(-($F65+Stoff!$L65*365)*V65)</f>
        <v>#VALUE!</v>
      </c>
      <c r="X65" s="291" t="e">
        <f>(Stoff!$P65*$D65)*EXP(-'1a. Spredningsmodell input'!$B$43*V65)</f>
        <v>#VALUE!</v>
      </c>
      <c r="Y65" s="290" t="e">
        <f>($D65-Stoff!$P65*$D65-W65)*($F65/($F65+Stoff!$L65*365))</f>
        <v>#VALUE!</v>
      </c>
      <c r="Z65" s="290" t="e">
        <f>(Stoff!$P65*$D65)-X65</f>
        <v>#VALUE!</v>
      </c>
      <c r="AA65" s="290" t="e">
        <f>($O65+Y65)*EXP(-($N65+Stoff!$M65*365)*V65)</f>
        <v>#VALUE!</v>
      </c>
      <c r="AB65" s="290" t="e">
        <f>(Stoff!$P65*$O65+Z65)*EXP(-('1a. Spredningsmodell input'!$B$46)*V65)</f>
        <v>#VALUE!</v>
      </c>
      <c r="AC65" s="292" t="e">
        <f>((AA65+AB65)*1000000000)/('1a. Spredningsmodell input'!$B$45*1000)</f>
        <v>#VALUE!</v>
      </c>
      <c r="AD65" s="294" t="e">
        <f>0.001*AC65/('1a. Spredningsmodell input'!$C$25+'1a. Spredningsmodell input'!$C$26/Mellomregninger!$K65)</f>
        <v>#VALUE!</v>
      </c>
      <c r="AE65" s="294" t="e">
        <f>1000*AD65/$K65+AB65*1000000000/('1a. Spredningsmodell input'!$B$45*1000)</f>
        <v>#VALUE!</v>
      </c>
      <c r="AF65" s="294" t="e">
        <f t="shared" si="0"/>
        <v>#VALUE!</v>
      </c>
      <c r="AG65" s="294" t="e">
        <f>AB65*1000000000/('1a. Spredningsmodell input'!$B$45*1000)</f>
        <v>#VALUE!</v>
      </c>
      <c r="AH65" s="300" t="e">
        <f>(1/('1a. Spredningsmodell input'!$B$46))*(LN(($D65*Stoff!$P65/($D65*Stoff!$P65+$P65*Stoff!$P65))*('1a. Spredningsmodell input'!$B$43+'1a. Spredningsmodell input'!$B$46)/('1a. Spredningsmodell input'!$B$46)))</f>
        <v>#VALUE!</v>
      </c>
      <c r="AI65" s="290" t="e">
        <f>($D65-Stoff!$P65*$D65)*EXP(-($F65+Stoff!$L65*365)*AH65)</f>
        <v>#VALUE!</v>
      </c>
      <c r="AJ65" s="291" t="e">
        <f>(Stoff!$P65*$D65)*EXP(-'1a. Spredningsmodell input'!$B$43*AH65)</f>
        <v>#VALUE!</v>
      </c>
      <c r="AK65" s="290" t="e">
        <f>($D65-Stoff!$P65*$D65-AI65)*($F65/($F65+Stoff!$L65*365))</f>
        <v>#VALUE!</v>
      </c>
      <c r="AL65" s="290" t="e">
        <f>(Stoff!$P65*$D65)-AJ65</f>
        <v>#VALUE!</v>
      </c>
      <c r="AM65" s="290" t="e">
        <f>($O65+AK65)*EXP(-($N65+Stoff!$M65*365)*AH65)</f>
        <v>#VALUE!</v>
      </c>
      <c r="AN65" s="290" t="e">
        <f>(Stoff!$P65*$O65+AL65)*EXP(-('1a. Spredningsmodell input'!$B$46)*AH65)</f>
        <v>#VALUE!</v>
      </c>
      <c r="AO65" s="292" t="e">
        <f>((AM65+AN65)*1000000000)/('1a. Spredningsmodell input'!$B$45*1000)</f>
        <v>#VALUE!</v>
      </c>
      <c r="AP65" s="294" t="e">
        <f>0.001*AO65/('1a. Spredningsmodell input'!$C$25+'1a. Spredningsmodell input'!$C$26/Mellomregninger!$K65)</f>
        <v>#VALUE!</v>
      </c>
      <c r="AQ65" s="294" t="e">
        <f>1000*AP65/$K65+AN65*1000000000/('1a. Spredningsmodell input'!$B$45*1000)</f>
        <v>#VALUE!</v>
      </c>
      <c r="AR65" s="294" t="e">
        <f t="shared" si="1"/>
        <v>#VALUE!</v>
      </c>
      <c r="AS65" s="294" t="e">
        <f>AN65*1000000000/('1a. Spredningsmodell input'!$B$45*1000)</f>
        <v>#VALUE!</v>
      </c>
      <c r="AT65" s="295">
        <f t="shared" si="25"/>
        <v>5</v>
      </c>
      <c r="AU65" s="290" t="e">
        <f>($D65-Stoff!$P65*$D65)*EXP(-($F65+Stoff!$L65*365)*AT65)</f>
        <v>#VALUE!</v>
      </c>
      <c r="AV65" s="291" t="e">
        <f>(Stoff!$P65*$D65)*EXP(-'1a. Spredningsmodell input'!$B$43*AT65)</f>
        <v>#VALUE!</v>
      </c>
      <c r="AW65" s="290" t="e">
        <f>($D65-Stoff!$P65*$D65-AU65)*($F65/($F65+Stoff!$L65*365))</f>
        <v>#VALUE!</v>
      </c>
      <c r="AX65" s="290" t="e">
        <f>(Stoff!$P65*$D65)-AV65</f>
        <v>#VALUE!</v>
      </c>
      <c r="AY65" s="290" t="e">
        <f>($O65+AW65)*EXP(-($N65+Stoff!$M65*365)*AT65)</f>
        <v>#VALUE!</v>
      </c>
      <c r="AZ65" s="290" t="e">
        <f>(Stoff!$P65*$O65+AX65)*EXP(-('1a. Spredningsmodell input'!$B$46)*AT65)</f>
        <v>#VALUE!</v>
      </c>
      <c r="BA65" s="292" t="e">
        <f>((AY65+AZ65)*1000000000)/('1a. Spredningsmodell input'!$B$45*1000)</f>
        <v>#VALUE!</v>
      </c>
      <c r="BB65" s="294" t="e">
        <f>0.001*BA65/('1a. Spredningsmodell input'!$C$25+'1a. Spredningsmodell input'!$C$26/Mellomregninger!$K65)</f>
        <v>#VALUE!</v>
      </c>
      <c r="BC65" s="294" t="e">
        <f>1000*BB65/$K65+AZ65*1000000000/('1a. Spredningsmodell input'!$B$45*1000)</f>
        <v>#VALUE!</v>
      </c>
      <c r="BD65" s="294" t="e">
        <f t="shared" si="2"/>
        <v>#VALUE!</v>
      </c>
      <c r="BE65" s="294" t="e">
        <f>AZ65*1000000000/('1a. Spredningsmodell input'!$B$45*1000)</f>
        <v>#VALUE!</v>
      </c>
      <c r="BF65" s="295">
        <f t="shared" si="26"/>
        <v>20</v>
      </c>
      <c r="BG65" s="290" t="e">
        <f>($D65-Stoff!$P65*$D65)*EXP(-($F65+Stoff!$L65*365)*BF65)</f>
        <v>#VALUE!</v>
      </c>
      <c r="BH65" s="291" t="e">
        <f>(Stoff!$P65*$D65)*EXP(-'1a. Spredningsmodell input'!$B$43*BF65)</f>
        <v>#VALUE!</v>
      </c>
      <c r="BI65" s="290" t="e">
        <f>($D65-Stoff!$P65*$D65-BG65)*($F65/($F65+Stoff!$L65*365))</f>
        <v>#VALUE!</v>
      </c>
      <c r="BJ65" s="290" t="e">
        <f>(Stoff!$P65*$D65)-BH65</f>
        <v>#VALUE!</v>
      </c>
      <c r="BK65" s="290" t="e">
        <f>($O65+BI65)*EXP(-($N65+Stoff!$M65*365)*BF65)</f>
        <v>#VALUE!</v>
      </c>
      <c r="BL65" s="290" t="e">
        <f>(Stoff!$P65*$O65+BJ65)*EXP(-('1a. Spredningsmodell input'!$B$46)*BF65)</f>
        <v>#VALUE!</v>
      </c>
      <c r="BM65" s="292" t="e">
        <f>((BK65+BL65)*1000000000)/('1a. Spredningsmodell input'!$B$45*1000)</f>
        <v>#VALUE!</v>
      </c>
      <c r="BN65" s="294" t="e">
        <f>0.001*BM65/('1a. Spredningsmodell input'!$C$25+'1a. Spredningsmodell input'!$C$26/Mellomregninger!$K65)</f>
        <v>#VALUE!</v>
      </c>
      <c r="BO65" s="294" t="e">
        <f>1000*BN65/$K65+BL65*1000000000/('1a. Spredningsmodell input'!$B$45*1000)</f>
        <v>#VALUE!</v>
      </c>
      <c r="BP65" s="294" t="e">
        <f t="shared" si="3"/>
        <v>#VALUE!</v>
      </c>
      <c r="BQ65" s="294" t="e">
        <f>BL65*1000000000/('1a. Spredningsmodell input'!$B$45*1000)</f>
        <v>#VALUE!</v>
      </c>
      <c r="BR65" s="295">
        <f t="shared" si="27"/>
        <v>100</v>
      </c>
      <c r="BS65" s="290" t="e">
        <f>($D65-Stoff!$P65*$D65)*EXP(-($F65+Stoff!$L65*365)*BR65)</f>
        <v>#VALUE!</v>
      </c>
      <c r="BT65" s="291" t="e">
        <f>(Stoff!$P65*$D65)*EXP(-'1a. Spredningsmodell input'!$B$43*BR65)</f>
        <v>#VALUE!</v>
      </c>
      <c r="BU65" s="290" t="e">
        <f>($D65-Stoff!$P65*$D65-BS65)*($F65/($F65+Stoff!$L65*365))</f>
        <v>#VALUE!</v>
      </c>
      <c r="BV65" s="290" t="e">
        <f>(Stoff!$P65*$D65)-BT65</f>
        <v>#VALUE!</v>
      </c>
      <c r="BW65" s="290" t="e">
        <f>($O65+BU65)*EXP(-($N65+Stoff!$M65*365)*BR65)</f>
        <v>#VALUE!</v>
      </c>
      <c r="BX65" s="290" t="e">
        <f>(Stoff!$P65*$O65+BV65)*EXP(-('1a. Spredningsmodell input'!$B$46)*BR65)</f>
        <v>#VALUE!</v>
      </c>
      <c r="BY65" s="292" t="e">
        <f>((BW65+BX65)*1000000000)/('1a. Spredningsmodell input'!$B$45*1000)</f>
        <v>#VALUE!</v>
      </c>
      <c r="BZ65" s="294" t="e">
        <f>0.001*BY65/('1a. Spredningsmodell input'!$C$25+'1a. Spredningsmodell input'!$C$26/Mellomregninger!$K65)</f>
        <v>#VALUE!</v>
      </c>
      <c r="CA65" s="294" t="e">
        <f>1000*BZ65/$K65+BX65*1000000000/('1a. Spredningsmodell input'!$B$45*1000)</f>
        <v>#VALUE!</v>
      </c>
      <c r="CB65" s="294" t="e">
        <f t="shared" si="4"/>
        <v>#VALUE!</v>
      </c>
      <c r="CC65" s="294" t="e">
        <f>BX65*1000000000/('1a. Spredningsmodell input'!$B$45*1000)</f>
        <v>#VALUE!</v>
      </c>
      <c r="CD65" s="294" t="e">
        <f>V65+'1a. Spredningsmodell input'!$C$35</f>
        <v>#VALUE!</v>
      </c>
      <c r="CE65" s="294" t="e">
        <f>($S65+$Q65*($O65+$I65*($D65*(1-Stoff!$P65))*(1-EXP(-($F65+Stoff!$L65*365)*CD65)))*(1-EXP(-($N65+Stoff!$M65*365)*CD65)))</f>
        <v>#VALUE!</v>
      </c>
      <c r="CF65" s="294" t="e">
        <f t="shared" si="5"/>
        <v>#VALUE!</v>
      </c>
      <c r="CG65" s="296" t="e">
        <f>(CF65/1000000)*'1a. Spredningsmodell input'!$B$49*'1a. Spredningsmodell input'!$C$35</f>
        <v>#VALUE!</v>
      </c>
      <c r="CH65" s="294" t="e">
        <f t="shared" si="17"/>
        <v>#VALUE!</v>
      </c>
      <c r="CI65" s="290" t="e">
        <f>(CH65/1000000)*'1a. Spredningsmodell input'!$B$49*'1a. Spredningsmodell input'!$C$35</f>
        <v>#VALUE!</v>
      </c>
      <c r="CJ65" s="297" t="e">
        <f>($S65)*EXP(-(Stoff!$N65*365+$U65)*CD65)+CG65</f>
        <v>#VALUE!</v>
      </c>
      <c r="CK65" s="297" t="e">
        <f>(Stoff!$P65*$S65+CI65)*EXP(-$T65*CD65)</f>
        <v>#VALUE!</v>
      </c>
      <c r="CL65" s="297" t="e">
        <f>(CJ65+CK65)*1000000000/('1a. Spredningsmodell input'!$C$36*1000)</f>
        <v>#VALUE!</v>
      </c>
      <c r="CM65" s="297" t="e">
        <f>$G65*(1-EXP(-'1a. Spredningsmodell input'!$B$43*Mellomregninger!CD65))*(1-EXP(-'1a. Spredningsmodell input'!$B$46*Mellomregninger!CD65))</f>
        <v>#VALUE!</v>
      </c>
      <c r="CN65" s="297"/>
      <c r="CO65" s="297"/>
      <c r="CP65" s="290">
        <f>IF(ISNUMBER(AH65),AH65+'1a. Spredningsmodell input'!$C$35,'1a. Spredningsmodell input'!$C$35)</f>
        <v>1</v>
      </c>
      <c r="CQ65" s="294" t="e">
        <f>($S65+$Q65*($O65+$I65*($D65*(1-Stoff!$P65))*(1-EXP(-($F65+Stoff!$L65*365)*CP65)))*(1-EXP(-($N65+Stoff!$M65*365)*CP65)))</f>
        <v>#VALUE!</v>
      </c>
      <c r="CR65" s="294" t="e">
        <f t="shared" si="6"/>
        <v>#VALUE!</v>
      </c>
      <c r="CS65" s="296" t="e">
        <f>(CR65/1000000)*('1a. Spredningsmodell input'!$B$49*'1a. Spredningsmodell input'!$C$35)</f>
        <v>#VALUE!</v>
      </c>
      <c r="CT65" s="294" t="e">
        <f t="shared" si="7"/>
        <v>#VALUE!</v>
      </c>
      <c r="CU65" s="290" t="e">
        <f>(CT65/1000000)*('1a. Spredningsmodell input'!$B$49)*'1a. Spredningsmodell input'!$C$35</f>
        <v>#VALUE!</v>
      </c>
      <c r="CV65" s="297" t="e">
        <f>($S65)*EXP(-(Stoff!$N65*365+$U65)*CP65)+CS65</f>
        <v>#VALUE!</v>
      </c>
      <c r="CW65" s="297" t="e">
        <f>(Stoff!$P65*$S65+CU65)*EXP(-$T65*CP65)</f>
        <v>#VALUE!</v>
      </c>
      <c r="CX65" s="297">
        <f>IF(ISERROR(CV65),0,(CV65+CW65)*1000000000/('1a. Spredningsmodell input'!$C$36*1000))</f>
        <v>0</v>
      </c>
      <c r="CY65" s="297" t="e">
        <f>$G65*(1-EXP(-'1a. Spredningsmodell input'!$B$43*Mellomregninger!CP65))*(1-EXP(-'1a. Spredningsmodell input'!$B$46*Mellomregninger!CP65))</f>
        <v>#VALUE!</v>
      </c>
      <c r="CZ65" s="297"/>
      <c r="DA65" s="297"/>
      <c r="DB65" s="262">
        <f t="shared" si="28"/>
        <v>5</v>
      </c>
      <c r="DC65" s="298" t="e">
        <f>($S65+$Q65*($O65+$I65*($D65*(1-Stoff!$P65))*(1-EXP(-($F65+Stoff!$L65*365)*DB65)))*(1-EXP(-($N65+Stoff!$M65*365)*DB65)))</f>
        <v>#VALUE!</v>
      </c>
      <c r="DD65" s="294" t="e">
        <f t="shared" si="8"/>
        <v>#VALUE!</v>
      </c>
      <c r="DE65" s="296" t="e">
        <f>(DD65/1000000)*('1a. Spredningsmodell input'!$B$49)*'1a. Spredningsmodell input'!$C$35</f>
        <v>#VALUE!</v>
      </c>
      <c r="DF65" s="294" t="e">
        <f t="shared" si="19"/>
        <v>#VALUE!</v>
      </c>
      <c r="DG65" s="290" t="e">
        <f>(DF65/1000000)*('1a. Spredningsmodell input'!$B$49)*'1a. Spredningsmodell input'!$C$35</f>
        <v>#VALUE!</v>
      </c>
      <c r="DH65" s="297" t="e">
        <f>($S65)*EXP(-(Stoff!$N65*365+$U65)*DB65)+DE65</f>
        <v>#VALUE!</v>
      </c>
      <c r="DI65" s="297" t="e">
        <f>(Stoff!$P65*$S65+DG65)*EXP(-$T65*DB65)</f>
        <v>#VALUE!</v>
      </c>
      <c r="DJ65" s="297" t="e">
        <f>(DH65+DI65)*1000000000/('1a. Spredningsmodell input'!$C$36*1000)</f>
        <v>#VALUE!</v>
      </c>
      <c r="DK65" s="297" t="e">
        <f>$G65*(1-EXP(-'1a. Spredningsmodell input'!$B$43*Mellomregninger!DB65))*(1-EXP(-'1a. Spredningsmodell input'!$B$46*Mellomregninger!DB65))</f>
        <v>#VALUE!</v>
      </c>
      <c r="DL65" s="297"/>
      <c r="DM65" s="297"/>
      <c r="DN65" s="262">
        <f t="shared" si="29"/>
        <v>20</v>
      </c>
      <c r="DO65" s="298" t="e">
        <f>($S65+$Q65*($O65+$I65*($D65*(1-Stoff!$P65))*(1-EXP(-($F65+Stoff!$L65*365)*DN65)))*(1-EXP(-($N65+Stoff!$M65*365)*DN65)))</f>
        <v>#VALUE!</v>
      </c>
      <c r="DP65" s="294" t="e">
        <f t="shared" si="21"/>
        <v>#VALUE!</v>
      </c>
      <c r="DQ65" s="296" t="e">
        <f>(DP65/1000000)*('1a. Spredningsmodell input'!$B$49)*'1a. Spredningsmodell input'!$C$35</f>
        <v>#VALUE!</v>
      </c>
      <c r="DR65" s="294" t="e">
        <f t="shared" si="9"/>
        <v>#VALUE!</v>
      </c>
      <c r="DS65" s="290" t="e">
        <f>(DR65/1000000)*('1a. Spredningsmodell input'!$B$49)*'1a. Spredningsmodell input'!$C$35</f>
        <v>#VALUE!</v>
      </c>
      <c r="DT65" s="297" t="e">
        <f>($S65)*EXP(-(Stoff!$N65*365+$U65)*DN65)+DQ65</f>
        <v>#VALUE!</v>
      </c>
      <c r="DU65" s="297" t="e">
        <f>(Stoff!$P65*$S65+DS65)*EXP(-$T65*DN65)</f>
        <v>#VALUE!</v>
      </c>
      <c r="DV65" s="297" t="e">
        <f>(DT65+DU65)*1000000000/('1a. Spredningsmodell input'!$C$36*1000)</f>
        <v>#VALUE!</v>
      </c>
      <c r="DW65" s="297" t="e">
        <f>$G65*(1-EXP(-'1a. Spredningsmodell input'!$B$43*Mellomregninger!DN65))*(1-EXP(-'1a. Spredningsmodell input'!$B$46*Mellomregninger!DN65))</f>
        <v>#VALUE!</v>
      </c>
      <c r="DX65" s="297"/>
      <c r="DY65" s="297"/>
      <c r="DZ65" s="262">
        <f t="shared" si="30"/>
        <v>100</v>
      </c>
      <c r="EA65" s="298" t="e">
        <f>($S65+$Q65*($O65+$I65*($D65*(1-Stoff!$P65))*(1-EXP(-($F65+Stoff!$L65*365)*DZ65)))*(1-EXP(-($N65+Stoff!$M65*365)*DZ65)))</f>
        <v>#VALUE!</v>
      </c>
      <c r="EB65" s="294" t="e">
        <f t="shared" si="10"/>
        <v>#VALUE!</v>
      </c>
      <c r="EC65" s="296" t="e">
        <f>(EB65/1000000)*('1a. Spredningsmodell input'!$B$49)*'1a. Spredningsmodell input'!$C$35</f>
        <v>#VALUE!</v>
      </c>
      <c r="ED65" s="294" t="e">
        <f t="shared" si="11"/>
        <v>#VALUE!</v>
      </c>
      <c r="EE65" s="290" t="e">
        <f>(ED65/1000000)*('1a. Spredningsmodell input'!$B$49)*'1a. Spredningsmodell input'!$C$35</f>
        <v>#VALUE!</v>
      </c>
      <c r="EF65" s="297" t="e">
        <f>($S65)*EXP(-(Stoff!$N65*365+$U65)*DZ65)+EC65</f>
        <v>#VALUE!</v>
      </c>
      <c r="EG65" s="297" t="e">
        <f>(Stoff!$P65*$S65+EE65)*EXP(-$T65*DZ65)</f>
        <v>#VALUE!</v>
      </c>
      <c r="EH65" s="297" t="e">
        <f>(EF65+EG65)*1000000000/('1a. Spredningsmodell input'!$C$36*1000)</f>
        <v>#VALUE!</v>
      </c>
      <c r="EI65" s="297" t="e">
        <f>$G65*(1-EXP(-'1a. Spredningsmodell input'!$B$43*Mellomregninger!DZ65))*(1-EXP(-'1a. Spredningsmodell input'!$B$46*Mellomregninger!DZ65))</f>
        <v>#VALUE!</v>
      </c>
      <c r="EJ65" s="297"/>
      <c r="EK65" s="297"/>
      <c r="EL65" s="262">
        <f t="shared" si="31"/>
        <v>1.0000000000000001E+25</v>
      </c>
      <c r="EM65" s="294" t="e">
        <f>($S65+$Q65*($O65+$I65*($D65*(1-Stoff!$P65))*(1-EXP(-($F65+Stoff!$L65*365)*EL65)))*(1-EXP(-($N65+Stoff!$M65*365)*EL65)))</f>
        <v>#VALUE!</v>
      </c>
      <c r="EN65" s="296" t="e">
        <f>($S65+$Q65*($O65+$I65*($D65*(1-Stoff!$P65))*(1-EXP(-($F65+Stoff!$L65*365)*(EL65-'1a. Spredningsmodell input'!$C$35))))*(1-EXP(-($N65+Stoff!$M65*365)*(EL65-'1a. Spredningsmodell input'!$C$35))))</f>
        <v>#VALUE!</v>
      </c>
      <c r="EO65" s="294" t="e">
        <f>IF(EL65&lt;'1a. Spredningsmodell input'!$C$35,EM65-($S65)*EXP(-(Stoff!$N65*365+$U65)*EL65),EM65-EN65)</f>
        <v>#VALUE!</v>
      </c>
      <c r="EP65" s="290" t="e">
        <f>((($D65*(Stoff!$P65))*(1-EXP(-'1a. Spredningsmodell input'!$B$43*EL65)))*(1-EXP(-'1a. Spredningsmodell input'!$B$46*EL65)))</f>
        <v>#VALUE!</v>
      </c>
      <c r="EQ65" s="294" t="e">
        <f>((($D65*(Stoff!$P65))*(1-EXP(-'1a. Spredningsmodell input'!$B$43*(EL65-'1a. Spredningsmodell input'!$C$35))))*(1-EXP(-'1a. Spredningsmodell input'!$B$46*(EL65-'1a. Spredningsmodell input'!$C$35))))</f>
        <v>#VALUE!</v>
      </c>
      <c r="ER65" s="290" t="e">
        <f>IF(EL65&lt;'1a. Spredningsmodell input'!$C$35,0,EP65-EQ65)</f>
        <v>#VALUE!</v>
      </c>
      <c r="ES65" s="297" t="e">
        <f>($S65)*EXP(-(Stoff!$N65*365+$U65)*EL65)+EO65</f>
        <v>#VALUE!</v>
      </c>
      <c r="ET65" s="297" t="e">
        <f>(Stoff!$P65*$S65+ER65)*EXP(-$T65*EL65)</f>
        <v>#VALUE!</v>
      </c>
      <c r="EU65" s="297" t="e">
        <f>(ES65+ET65)*1000000000/('1a. Spredningsmodell input'!$C$36*1000)</f>
        <v>#VALUE!</v>
      </c>
      <c r="EV65" s="262" t="e">
        <f t="shared" si="32"/>
        <v>#VALUE!</v>
      </c>
      <c r="EW65" s="299" t="e">
        <f t="shared" si="33"/>
        <v>#VALUE!</v>
      </c>
      <c r="EX65" s="262" t="e">
        <f t="shared" si="34"/>
        <v>#VALUE!</v>
      </c>
    </row>
    <row r="66" spans="1:154" x14ac:dyDescent="0.35">
      <c r="A66" s="50" t="s">
        <v>144</v>
      </c>
      <c r="B66" s="34" t="str">
        <f>IF(ISNUMBER('1c. Kons. porevann'!E66),1000*'1c. Kons. porevann'!E66,IF(ISNUMBER('1b. Kons. umettet jord'!E66),1000*'1b. Kons. umettet jord'!E66/C66,""))</f>
        <v/>
      </c>
      <c r="C66" s="244">
        <f>IF(Stoff!B66="uorganisk",Stoff!C66,Stoff!D66*'1a. Spredningsmodell input'!$C$11)</f>
        <v>0.06</v>
      </c>
      <c r="D66" s="34" t="str">
        <f>IF(ISNUMBER(B66),0.000001*('1b. Kons. umettet jord'!G66*'1a. Spredningsmodell input'!$C$12+B66*0.001*'1a. Spredningsmodell input'!$C$14)*1000*'1a. Spredningsmodell input'!$B$41*'1a. Spredningsmodell input'!$C$18,"")</f>
        <v/>
      </c>
      <c r="E66" s="283">
        <f>C66*'1a. Spredningsmodell input'!$C$12/'1a. Spredningsmodell input'!$C$14+1</f>
        <v>1.5099999999999998</v>
      </c>
      <c r="F66" s="284">
        <f>'1a. Spredningsmodell input'!$B$43/E66</f>
        <v>0.99337748344370858</v>
      </c>
      <c r="G66" s="34" t="e">
        <f>Stoff!P66*Mellomregninger!D66</f>
        <v>#VALUE!</v>
      </c>
      <c r="H66" s="283" t="e">
        <f>(D66-G66)*(F66/(F66+Stoff!L66))</f>
        <v>#VALUE!</v>
      </c>
      <c r="I66" s="283">
        <f>F66/(F66+Stoff!L66)</f>
        <v>1</v>
      </c>
      <c r="J66" s="285" t="str">
        <f>IF(B66="","",IF(ISNUMBER('1d. Kons. mettet sone'!E66),'1d. Kons. mettet sone'!E66,IF(ISNUMBER('1e. Kons. grunnvann'!E66),'1e. Kons. grunnvann'!E66*Mellomregninger!K66,0)))</f>
        <v/>
      </c>
      <c r="K66" s="286">
        <f>IF(Stoff!B66="uorganisk",Stoff!C66,Stoff!D66*'1a. Spredningsmodell input'!$C$24)</f>
        <v>6.0000000000000001E-3</v>
      </c>
      <c r="L66" s="27" t="e">
        <f>IF(ISNUMBER('1e. Kons. grunnvann'!E66),1000*'1e. Kons. grunnvann'!E66,1000*J66/K66)</f>
        <v>#VALUE!</v>
      </c>
      <c r="M66" s="34">
        <f>K66*'1a. Spredningsmodell input'!$C$25/'1a. Spredningsmodell input'!$C$26+1</f>
        <v>1.0255000000000001</v>
      </c>
      <c r="N66" s="284">
        <f>'1a. Spredningsmodell input'!$C$26/M66</f>
        <v>0.39005363237445145</v>
      </c>
      <c r="O66" s="287" t="e">
        <f>0.000000001*(J66*'1a. Spredningsmodell input'!$C$25+L66)*1000*'1a. Spredningsmodell input'!$B$45</f>
        <v>#VALUE!</v>
      </c>
      <c r="P66" s="287" t="e">
        <f>O66*Stoff!P66</f>
        <v>#VALUE!</v>
      </c>
      <c r="Q66" s="287">
        <f>N66/(N66+Stoff!M66)</f>
        <v>1</v>
      </c>
      <c r="R66" s="288">
        <f>IF(ISNUMBER('1f. Kons. resipient'!E66),'1f. Kons. resipient'!E66,0)</f>
        <v>0</v>
      </c>
      <c r="S66" s="288">
        <f>0.000000001*'1a. Spredningsmodell input'!$C$36*R66*1000</f>
        <v>0</v>
      </c>
      <c r="T66" s="288">
        <f>1/'1a. Spredningsmodell input'!$C$35</f>
        <v>1</v>
      </c>
      <c r="U66" s="288">
        <f>1/'1a. Spredningsmodell input'!$C$35</f>
        <v>1</v>
      </c>
      <c r="V66" s="300" t="e">
        <f>(1/($N66+Stoff!$L66))*(LN(($D66*$I66/($D66*$I66+$J66))*($F66+Stoff!$L66+$N66+Stoff!$M66)/($N66+Stoff!$M66)))</f>
        <v>#VALUE!</v>
      </c>
      <c r="W66" s="290" t="e">
        <f>($D66-Stoff!$P66*$D66)*EXP(-($F66+Stoff!$L66*365)*V66)</f>
        <v>#VALUE!</v>
      </c>
      <c r="X66" s="291" t="e">
        <f>(Stoff!$P66*$D66)*EXP(-'1a. Spredningsmodell input'!$B$43*V66)</f>
        <v>#VALUE!</v>
      </c>
      <c r="Y66" s="290" t="e">
        <f>($D66-Stoff!$P66*$D66-W66)*($F66/($F66+Stoff!$L66*365))</f>
        <v>#VALUE!</v>
      </c>
      <c r="Z66" s="290" t="e">
        <f>(Stoff!$P66*$D66)-X66</f>
        <v>#VALUE!</v>
      </c>
      <c r="AA66" s="290" t="e">
        <f>($O66+Y66)*EXP(-($N66+Stoff!$M66*365)*V66)</f>
        <v>#VALUE!</v>
      </c>
      <c r="AB66" s="290" t="e">
        <f>(Stoff!$P66*$O66+Z66)*EXP(-('1a. Spredningsmodell input'!$B$46)*V66)</f>
        <v>#VALUE!</v>
      </c>
      <c r="AC66" s="292" t="e">
        <f>((AA66+AB66)*1000000000)/('1a. Spredningsmodell input'!$B$45*1000)</f>
        <v>#VALUE!</v>
      </c>
      <c r="AD66" s="294" t="e">
        <f>0.001*AC66/('1a. Spredningsmodell input'!$C$25+'1a. Spredningsmodell input'!$C$26/Mellomregninger!$K66)</f>
        <v>#VALUE!</v>
      </c>
      <c r="AE66" s="294" t="e">
        <f>1000*AD66/$K66+AB66*1000000000/('1a. Spredningsmodell input'!$B$45*1000)</f>
        <v>#VALUE!</v>
      </c>
      <c r="AF66" s="294" t="e">
        <f t="shared" si="0"/>
        <v>#VALUE!</v>
      </c>
      <c r="AG66" s="294" t="e">
        <f>AB66*1000000000/('1a. Spredningsmodell input'!$B$45*1000)</f>
        <v>#VALUE!</v>
      </c>
      <c r="AH66" s="300" t="e">
        <f>(1/('1a. Spredningsmodell input'!$B$46))*(LN(($D66*Stoff!$P66/($D66*Stoff!$P66+$P66*Stoff!$P66))*('1a. Spredningsmodell input'!$B$43+'1a. Spredningsmodell input'!$B$46)/('1a. Spredningsmodell input'!$B$46)))</f>
        <v>#VALUE!</v>
      </c>
      <c r="AI66" s="290" t="e">
        <f>($D66-Stoff!$P66*$D66)*EXP(-($F66+Stoff!$L66*365)*AH66)</f>
        <v>#VALUE!</v>
      </c>
      <c r="AJ66" s="291" t="e">
        <f>(Stoff!$P66*$D66)*EXP(-'1a. Spredningsmodell input'!$B$43*AH66)</f>
        <v>#VALUE!</v>
      </c>
      <c r="AK66" s="290" t="e">
        <f>($D66-Stoff!$P66*$D66-AI66)*($F66/($F66+Stoff!$L66*365))</f>
        <v>#VALUE!</v>
      </c>
      <c r="AL66" s="290" t="e">
        <f>(Stoff!$P66*$D66)-AJ66</f>
        <v>#VALUE!</v>
      </c>
      <c r="AM66" s="290" t="e">
        <f>($O66+AK66)*EXP(-($N66+Stoff!$M66*365)*AH66)</f>
        <v>#VALUE!</v>
      </c>
      <c r="AN66" s="290" t="e">
        <f>(Stoff!$P66*$O66+AL66)*EXP(-('1a. Spredningsmodell input'!$B$46)*AH66)</f>
        <v>#VALUE!</v>
      </c>
      <c r="AO66" s="292" t="e">
        <f>((AM66+AN66)*1000000000)/('1a. Spredningsmodell input'!$B$45*1000)</f>
        <v>#VALUE!</v>
      </c>
      <c r="AP66" s="294" t="e">
        <f>0.001*AO66/('1a. Spredningsmodell input'!$C$25+'1a. Spredningsmodell input'!$C$26/Mellomregninger!$K66)</f>
        <v>#VALUE!</v>
      </c>
      <c r="AQ66" s="294" t="e">
        <f>1000*AP66/$K66+AN66*1000000000/('1a. Spredningsmodell input'!$B$45*1000)</f>
        <v>#VALUE!</v>
      </c>
      <c r="AR66" s="294" t="e">
        <f t="shared" si="1"/>
        <v>#VALUE!</v>
      </c>
      <c r="AS66" s="294" t="e">
        <f>AN66*1000000000/('1a. Spredningsmodell input'!$B$45*1000)</f>
        <v>#VALUE!</v>
      </c>
      <c r="AT66" s="295">
        <f t="shared" si="25"/>
        <v>5</v>
      </c>
      <c r="AU66" s="290" t="e">
        <f>($D66-Stoff!$P66*$D66)*EXP(-($F66+Stoff!$L66*365)*AT66)</f>
        <v>#VALUE!</v>
      </c>
      <c r="AV66" s="291" t="e">
        <f>(Stoff!$P66*$D66)*EXP(-'1a. Spredningsmodell input'!$B$43*AT66)</f>
        <v>#VALUE!</v>
      </c>
      <c r="AW66" s="290" t="e">
        <f>($D66-Stoff!$P66*$D66-AU66)*($F66/($F66+Stoff!$L66*365))</f>
        <v>#VALUE!</v>
      </c>
      <c r="AX66" s="290" t="e">
        <f>(Stoff!$P66*$D66)-AV66</f>
        <v>#VALUE!</v>
      </c>
      <c r="AY66" s="290" t="e">
        <f>($O66+AW66)*EXP(-($N66+Stoff!$M66*365)*AT66)</f>
        <v>#VALUE!</v>
      </c>
      <c r="AZ66" s="290" t="e">
        <f>(Stoff!$P66*$O66+AX66)*EXP(-('1a. Spredningsmodell input'!$B$46)*AT66)</f>
        <v>#VALUE!</v>
      </c>
      <c r="BA66" s="292" t="e">
        <f>((AY66+AZ66)*1000000000)/('1a. Spredningsmodell input'!$B$45*1000)</f>
        <v>#VALUE!</v>
      </c>
      <c r="BB66" s="294" t="e">
        <f>0.001*BA66/('1a. Spredningsmodell input'!$C$25+'1a. Spredningsmodell input'!$C$26/Mellomregninger!$K66)</f>
        <v>#VALUE!</v>
      </c>
      <c r="BC66" s="294" t="e">
        <f>1000*BB66/$K66+AZ66*1000000000/('1a. Spredningsmodell input'!$B$45*1000)</f>
        <v>#VALUE!</v>
      </c>
      <c r="BD66" s="294" t="e">
        <f t="shared" si="2"/>
        <v>#VALUE!</v>
      </c>
      <c r="BE66" s="294" t="e">
        <f>AZ66*1000000000/('1a. Spredningsmodell input'!$B$45*1000)</f>
        <v>#VALUE!</v>
      </c>
      <c r="BF66" s="295">
        <f t="shared" si="26"/>
        <v>20</v>
      </c>
      <c r="BG66" s="290" t="e">
        <f>($D66-Stoff!$P66*$D66)*EXP(-($F66+Stoff!$L66*365)*BF66)</f>
        <v>#VALUE!</v>
      </c>
      <c r="BH66" s="291" t="e">
        <f>(Stoff!$P66*$D66)*EXP(-'1a. Spredningsmodell input'!$B$43*BF66)</f>
        <v>#VALUE!</v>
      </c>
      <c r="BI66" s="290" t="e">
        <f>($D66-Stoff!$P66*$D66-BG66)*($F66/($F66+Stoff!$L66*365))</f>
        <v>#VALUE!</v>
      </c>
      <c r="BJ66" s="290" t="e">
        <f>(Stoff!$P66*$D66)-BH66</f>
        <v>#VALUE!</v>
      </c>
      <c r="BK66" s="290" t="e">
        <f>($O66+BI66)*EXP(-($N66+Stoff!$M66*365)*BF66)</f>
        <v>#VALUE!</v>
      </c>
      <c r="BL66" s="290" t="e">
        <f>(Stoff!$P66*$O66+BJ66)*EXP(-('1a. Spredningsmodell input'!$B$46)*BF66)</f>
        <v>#VALUE!</v>
      </c>
      <c r="BM66" s="292" t="e">
        <f>((BK66+BL66)*1000000000)/('1a. Spredningsmodell input'!$B$45*1000)</f>
        <v>#VALUE!</v>
      </c>
      <c r="BN66" s="294" t="e">
        <f>0.001*BM66/('1a. Spredningsmodell input'!$C$25+'1a. Spredningsmodell input'!$C$26/Mellomregninger!$K66)</f>
        <v>#VALUE!</v>
      </c>
      <c r="BO66" s="294" t="e">
        <f>1000*BN66/$K66+BL66*1000000000/('1a. Spredningsmodell input'!$B$45*1000)</f>
        <v>#VALUE!</v>
      </c>
      <c r="BP66" s="294" t="e">
        <f t="shared" si="3"/>
        <v>#VALUE!</v>
      </c>
      <c r="BQ66" s="294" t="e">
        <f>BL66*1000000000/('1a. Spredningsmodell input'!$B$45*1000)</f>
        <v>#VALUE!</v>
      </c>
      <c r="BR66" s="295">
        <f t="shared" si="27"/>
        <v>100</v>
      </c>
      <c r="BS66" s="290" t="e">
        <f>($D66-Stoff!$P66*$D66)*EXP(-($F66+Stoff!$L66*365)*BR66)</f>
        <v>#VALUE!</v>
      </c>
      <c r="BT66" s="291" t="e">
        <f>(Stoff!$P66*$D66)*EXP(-'1a. Spredningsmodell input'!$B$43*BR66)</f>
        <v>#VALUE!</v>
      </c>
      <c r="BU66" s="290" t="e">
        <f>($D66-Stoff!$P66*$D66-BS66)*($F66/($F66+Stoff!$L66*365))</f>
        <v>#VALUE!</v>
      </c>
      <c r="BV66" s="290" t="e">
        <f>(Stoff!$P66*$D66)-BT66</f>
        <v>#VALUE!</v>
      </c>
      <c r="BW66" s="290" t="e">
        <f>($O66+BU66)*EXP(-($N66+Stoff!$M66*365)*BR66)</f>
        <v>#VALUE!</v>
      </c>
      <c r="BX66" s="290" t="e">
        <f>(Stoff!$P66*$O66+BV66)*EXP(-('1a. Spredningsmodell input'!$B$46)*BR66)</f>
        <v>#VALUE!</v>
      </c>
      <c r="BY66" s="292" t="e">
        <f>((BW66+BX66)*1000000000)/('1a. Spredningsmodell input'!$B$45*1000)</f>
        <v>#VALUE!</v>
      </c>
      <c r="BZ66" s="294" t="e">
        <f>0.001*BY66/('1a. Spredningsmodell input'!$C$25+'1a. Spredningsmodell input'!$C$26/Mellomregninger!$K66)</f>
        <v>#VALUE!</v>
      </c>
      <c r="CA66" s="294" t="e">
        <f>1000*BZ66/$K66+BX66*1000000000/('1a. Spredningsmodell input'!$B$45*1000)</f>
        <v>#VALUE!</v>
      </c>
      <c r="CB66" s="294" t="e">
        <f t="shared" si="4"/>
        <v>#VALUE!</v>
      </c>
      <c r="CC66" s="294" t="e">
        <f>BX66*1000000000/('1a. Spredningsmodell input'!$B$45*1000)</f>
        <v>#VALUE!</v>
      </c>
      <c r="CD66" s="294" t="e">
        <f>V66+'1a. Spredningsmodell input'!$C$35</f>
        <v>#VALUE!</v>
      </c>
      <c r="CE66" s="294" t="e">
        <f>($S66+$Q66*($O66+$I66*($D66*(1-Stoff!$P66))*(1-EXP(-($F66+Stoff!$L66*365)*CD66)))*(1-EXP(-($N66+Stoff!$M66*365)*CD66)))</f>
        <v>#VALUE!</v>
      </c>
      <c r="CF66" s="294" t="e">
        <f t="shared" si="5"/>
        <v>#VALUE!</v>
      </c>
      <c r="CG66" s="296" t="e">
        <f>(CF66/1000000)*'1a. Spredningsmodell input'!$B$49*'1a. Spredningsmodell input'!$C$35</f>
        <v>#VALUE!</v>
      </c>
      <c r="CH66" s="294" t="e">
        <f t="shared" si="17"/>
        <v>#VALUE!</v>
      </c>
      <c r="CI66" s="290" t="e">
        <f>(CH66/1000000)*'1a. Spredningsmodell input'!$B$49*'1a. Spredningsmodell input'!$C$35</f>
        <v>#VALUE!</v>
      </c>
      <c r="CJ66" s="297" t="e">
        <f>($S66)*EXP(-(Stoff!$N66*365+$U66)*CD66)+CG66</f>
        <v>#VALUE!</v>
      </c>
      <c r="CK66" s="297" t="e">
        <f>(Stoff!$P66*$S66+CI66)*EXP(-$T66*CD66)</f>
        <v>#VALUE!</v>
      </c>
      <c r="CL66" s="297" t="e">
        <f>(CJ66+CK66)*1000000000/('1a. Spredningsmodell input'!$C$36*1000)</f>
        <v>#VALUE!</v>
      </c>
      <c r="CM66" s="297" t="e">
        <f>$G66*(1-EXP(-'1a. Spredningsmodell input'!$B$43*Mellomregninger!CD66))*(1-EXP(-'1a. Spredningsmodell input'!$B$46*Mellomregninger!CD66))</f>
        <v>#VALUE!</v>
      </c>
      <c r="CN66" s="297"/>
      <c r="CO66" s="297"/>
      <c r="CP66" s="290">
        <f>IF(ISNUMBER(AH66),AH66+'1a. Spredningsmodell input'!$C$35,'1a. Spredningsmodell input'!$C$35)</f>
        <v>1</v>
      </c>
      <c r="CQ66" s="294" t="e">
        <f>($S66+$Q66*($O66+$I66*($D66*(1-Stoff!$P66))*(1-EXP(-($F66+Stoff!$L66*365)*CP66)))*(1-EXP(-($N66+Stoff!$M66*365)*CP66)))</f>
        <v>#VALUE!</v>
      </c>
      <c r="CR66" s="294" t="e">
        <f t="shared" si="6"/>
        <v>#VALUE!</v>
      </c>
      <c r="CS66" s="296" t="e">
        <f>(CR66/1000000)*('1a. Spredningsmodell input'!$B$49*'1a. Spredningsmodell input'!$C$35)</f>
        <v>#VALUE!</v>
      </c>
      <c r="CT66" s="294" t="e">
        <f t="shared" si="7"/>
        <v>#VALUE!</v>
      </c>
      <c r="CU66" s="290" t="e">
        <f>(CT66/1000000)*('1a. Spredningsmodell input'!$B$49)*'1a. Spredningsmodell input'!$C$35</f>
        <v>#VALUE!</v>
      </c>
      <c r="CV66" s="297" t="e">
        <f>($S66)*EXP(-(Stoff!$N66*365+$U66)*CP66)+CS66</f>
        <v>#VALUE!</v>
      </c>
      <c r="CW66" s="297" t="e">
        <f>(Stoff!$P66*$S66+CU66)*EXP(-$T66*CP66)</f>
        <v>#VALUE!</v>
      </c>
      <c r="CX66" s="297">
        <f>IF(ISERROR(CV66),0,(CV66+CW66)*1000000000/('1a. Spredningsmodell input'!$C$36*1000))</f>
        <v>0</v>
      </c>
      <c r="CY66" s="297" t="e">
        <f>$G66*(1-EXP(-'1a. Spredningsmodell input'!$B$43*Mellomregninger!CP66))*(1-EXP(-'1a. Spredningsmodell input'!$B$46*Mellomregninger!CP66))</f>
        <v>#VALUE!</v>
      </c>
      <c r="CZ66" s="297"/>
      <c r="DA66" s="297"/>
      <c r="DB66" s="262">
        <f t="shared" si="28"/>
        <v>5</v>
      </c>
      <c r="DC66" s="298" t="e">
        <f>($S66+$Q66*($O66+$I66*($D66*(1-Stoff!$P66))*(1-EXP(-($F66+Stoff!$L66*365)*DB66)))*(1-EXP(-($N66+Stoff!$M66*365)*DB66)))</f>
        <v>#VALUE!</v>
      </c>
      <c r="DD66" s="294" t="e">
        <f t="shared" si="8"/>
        <v>#VALUE!</v>
      </c>
      <c r="DE66" s="296" t="e">
        <f>(DD66/1000000)*('1a. Spredningsmodell input'!$B$49)*'1a. Spredningsmodell input'!$C$35</f>
        <v>#VALUE!</v>
      </c>
      <c r="DF66" s="294" t="e">
        <f t="shared" si="19"/>
        <v>#VALUE!</v>
      </c>
      <c r="DG66" s="290" t="e">
        <f>(DF66/1000000)*('1a. Spredningsmodell input'!$B$49)*'1a. Spredningsmodell input'!$C$35</f>
        <v>#VALUE!</v>
      </c>
      <c r="DH66" s="297" t="e">
        <f>($S66)*EXP(-(Stoff!$N66*365+$U66)*DB66)+DE66</f>
        <v>#VALUE!</v>
      </c>
      <c r="DI66" s="297" t="e">
        <f>(Stoff!$P66*$S66+DG66)*EXP(-$T66*DB66)</f>
        <v>#VALUE!</v>
      </c>
      <c r="DJ66" s="297" t="e">
        <f>(DH66+DI66)*1000000000/('1a. Spredningsmodell input'!$C$36*1000)</f>
        <v>#VALUE!</v>
      </c>
      <c r="DK66" s="297" t="e">
        <f>$G66*(1-EXP(-'1a. Spredningsmodell input'!$B$43*Mellomregninger!DB66))*(1-EXP(-'1a. Spredningsmodell input'!$B$46*Mellomregninger!DB66))</f>
        <v>#VALUE!</v>
      </c>
      <c r="DL66" s="297"/>
      <c r="DM66" s="297"/>
      <c r="DN66" s="262">
        <f t="shared" si="29"/>
        <v>20</v>
      </c>
      <c r="DO66" s="298" t="e">
        <f>($S66+$Q66*($O66+$I66*($D66*(1-Stoff!$P66))*(1-EXP(-($F66+Stoff!$L66*365)*DN66)))*(1-EXP(-($N66+Stoff!$M66*365)*DN66)))</f>
        <v>#VALUE!</v>
      </c>
      <c r="DP66" s="294" t="e">
        <f t="shared" si="21"/>
        <v>#VALUE!</v>
      </c>
      <c r="DQ66" s="296" t="e">
        <f>(DP66/1000000)*('1a. Spredningsmodell input'!$B$49)*'1a. Spredningsmodell input'!$C$35</f>
        <v>#VALUE!</v>
      </c>
      <c r="DR66" s="294" t="e">
        <f t="shared" si="9"/>
        <v>#VALUE!</v>
      </c>
      <c r="DS66" s="290" t="e">
        <f>(DR66/1000000)*('1a. Spredningsmodell input'!$B$49)*'1a. Spredningsmodell input'!$C$35</f>
        <v>#VALUE!</v>
      </c>
      <c r="DT66" s="297" t="e">
        <f>($S66)*EXP(-(Stoff!$N66*365+$U66)*DN66)+DQ66</f>
        <v>#VALUE!</v>
      </c>
      <c r="DU66" s="297" t="e">
        <f>(Stoff!$P66*$S66+DS66)*EXP(-$T66*DN66)</f>
        <v>#VALUE!</v>
      </c>
      <c r="DV66" s="297" t="e">
        <f>(DT66+DU66)*1000000000/('1a. Spredningsmodell input'!$C$36*1000)</f>
        <v>#VALUE!</v>
      </c>
      <c r="DW66" s="297" t="e">
        <f>$G66*(1-EXP(-'1a. Spredningsmodell input'!$B$43*Mellomregninger!DN66))*(1-EXP(-'1a. Spredningsmodell input'!$B$46*Mellomregninger!DN66))</f>
        <v>#VALUE!</v>
      </c>
      <c r="DX66" s="297"/>
      <c r="DY66" s="297"/>
      <c r="DZ66" s="262">
        <f t="shared" si="30"/>
        <v>100</v>
      </c>
      <c r="EA66" s="298" t="e">
        <f>($S66+$Q66*($O66+$I66*($D66*(1-Stoff!$P66))*(1-EXP(-($F66+Stoff!$L66*365)*DZ66)))*(1-EXP(-($N66+Stoff!$M66*365)*DZ66)))</f>
        <v>#VALUE!</v>
      </c>
      <c r="EB66" s="294" t="e">
        <f t="shared" si="10"/>
        <v>#VALUE!</v>
      </c>
      <c r="EC66" s="296" t="e">
        <f>(EB66/1000000)*('1a. Spredningsmodell input'!$B$49)*'1a. Spredningsmodell input'!$C$35</f>
        <v>#VALUE!</v>
      </c>
      <c r="ED66" s="294" t="e">
        <f t="shared" si="11"/>
        <v>#VALUE!</v>
      </c>
      <c r="EE66" s="290" t="e">
        <f>(ED66/1000000)*('1a. Spredningsmodell input'!$B$49)*'1a. Spredningsmodell input'!$C$35</f>
        <v>#VALUE!</v>
      </c>
      <c r="EF66" s="297" t="e">
        <f>($S66)*EXP(-(Stoff!$N66*365+$U66)*DZ66)+EC66</f>
        <v>#VALUE!</v>
      </c>
      <c r="EG66" s="297" t="e">
        <f>(Stoff!$P66*$S66+EE66)*EXP(-$T66*DZ66)</f>
        <v>#VALUE!</v>
      </c>
      <c r="EH66" s="297" t="e">
        <f>(EF66+EG66)*1000000000/('1a. Spredningsmodell input'!$C$36*1000)</f>
        <v>#VALUE!</v>
      </c>
      <c r="EI66" s="297" t="e">
        <f>$G66*(1-EXP(-'1a. Spredningsmodell input'!$B$43*Mellomregninger!DZ66))*(1-EXP(-'1a. Spredningsmodell input'!$B$46*Mellomregninger!DZ66))</f>
        <v>#VALUE!</v>
      </c>
      <c r="EJ66" s="297"/>
      <c r="EK66" s="297"/>
      <c r="EL66" s="262">
        <f t="shared" si="31"/>
        <v>1.0000000000000001E+25</v>
      </c>
      <c r="EM66" s="294" t="e">
        <f>($S66+$Q66*($O66+$I66*($D66*(1-Stoff!$P66))*(1-EXP(-($F66+Stoff!$L66*365)*EL66)))*(1-EXP(-($N66+Stoff!$M66*365)*EL66)))</f>
        <v>#VALUE!</v>
      </c>
      <c r="EN66" s="296" t="e">
        <f>($S66+$Q66*($O66+$I66*($D66*(1-Stoff!$P66))*(1-EXP(-($F66+Stoff!$L66*365)*(EL66-'1a. Spredningsmodell input'!$C$35))))*(1-EXP(-($N66+Stoff!$M66*365)*(EL66-'1a. Spredningsmodell input'!$C$35))))</f>
        <v>#VALUE!</v>
      </c>
      <c r="EO66" s="294" t="e">
        <f>IF(EL66&lt;'1a. Spredningsmodell input'!$C$35,EM66-($S66)*EXP(-(Stoff!$N66*365+$U66)*EL66),EM66-EN66)</f>
        <v>#VALUE!</v>
      </c>
      <c r="EP66" s="290" t="e">
        <f>((($D66*(Stoff!$P66))*(1-EXP(-'1a. Spredningsmodell input'!$B$43*EL66)))*(1-EXP(-'1a. Spredningsmodell input'!$B$46*EL66)))</f>
        <v>#VALUE!</v>
      </c>
      <c r="EQ66" s="294" t="e">
        <f>((($D66*(Stoff!$P66))*(1-EXP(-'1a. Spredningsmodell input'!$B$43*(EL66-'1a. Spredningsmodell input'!$C$35))))*(1-EXP(-'1a. Spredningsmodell input'!$B$46*(EL66-'1a. Spredningsmodell input'!$C$35))))</f>
        <v>#VALUE!</v>
      </c>
      <c r="ER66" s="290" t="e">
        <f>IF(EL66&lt;'1a. Spredningsmodell input'!$C$35,0,EP66-EQ66)</f>
        <v>#VALUE!</v>
      </c>
      <c r="ES66" s="297" t="e">
        <f>($S66)*EXP(-(Stoff!$N66*365+$U66)*EL66)+EO66</f>
        <v>#VALUE!</v>
      </c>
      <c r="ET66" s="297" t="e">
        <f>(Stoff!$P66*$S66+ER66)*EXP(-$T66*EL66)</f>
        <v>#VALUE!</v>
      </c>
      <c r="EU66" s="297" t="e">
        <f>(ES66+ET66)*1000000000/('1a. Spredningsmodell input'!$C$36*1000)</f>
        <v>#VALUE!</v>
      </c>
      <c r="EV66" s="262" t="e">
        <f t="shared" si="32"/>
        <v>#VALUE!</v>
      </c>
      <c r="EW66" s="299" t="e">
        <f t="shared" si="33"/>
        <v>#VALUE!</v>
      </c>
      <c r="EX66" s="262" t="e">
        <f t="shared" si="34"/>
        <v>#VALUE!</v>
      </c>
    </row>
    <row r="67" spans="1:154" x14ac:dyDescent="0.35">
      <c r="A67" s="50" t="s">
        <v>143</v>
      </c>
      <c r="B67" s="34" t="str">
        <f>IF(ISNUMBER('1c. Kons. porevann'!E67),1000*'1c. Kons. porevann'!E67,IF(ISNUMBER('1b. Kons. umettet jord'!E67),1000*'1b. Kons. umettet jord'!E67/C67,""))</f>
        <v/>
      </c>
      <c r="C67" s="244">
        <f>IF(Stoff!B67="uorganisk",Stoff!C67,Stoff!D67*'1a. Spredningsmodell input'!$C$11)</f>
        <v>13.000000000000012</v>
      </c>
      <c r="D67" s="34" t="str">
        <f>IF(ISNUMBER(B67),0.000001*('1b. Kons. umettet jord'!G67*'1a. Spredningsmodell input'!$C$12+B67*0.001*'1a. Spredningsmodell input'!$C$14)*1000*'1a. Spredningsmodell input'!$B$41*'1a. Spredningsmodell input'!$C$18,"")</f>
        <v/>
      </c>
      <c r="E67" s="283">
        <f>C67*'1a. Spredningsmodell input'!$C$12/'1a. Spredningsmodell input'!$C$14+1</f>
        <v>111.50000000000009</v>
      </c>
      <c r="F67" s="284">
        <f>'1a. Spredningsmodell input'!$B$43/E67</f>
        <v>1.3452914798206267E-2</v>
      </c>
      <c r="G67" s="34" t="e">
        <f>Stoff!P67*Mellomregninger!D67</f>
        <v>#VALUE!</v>
      </c>
      <c r="H67" s="283" t="e">
        <f>(D67-G67)*(F67/(F67+Stoff!L67))</f>
        <v>#VALUE!</v>
      </c>
      <c r="I67" s="283">
        <f>F67/(F67+Stoff!L67)</f>
        <v>1</v>
      </c>
      <c r="J67" s="285" t="str">
        <f>IF(B67="","",IF(ISNUMBER('1d. Kons. mettet sone'!E67),'1d. Kons. mettet sone'!E67,IF(ISNUMBER('1e. Kons. grunnvann'!E67),'1e. Kons. grunnvann'!E67*Mellomregninger!K67,0)))</f>
        <v/>
      </c>
      <c r="K67" s="286">
        <f>IF(Stoff!B67="uorganisk",Stoff!C67,Stoff!D67*'1a. Spredningsmodell input'!$C$24)</f>
        <v>1.3000000000000012</v>
      </c>
      <c r="L67" s="27" t="e">
        <f>IF(ISNUMBER('1e. Kons. grunnvann'!E67),1000*'1e. Kons. grunnvann'!E67,1000*J67/K67)</f>
        <v>#VALUE!</v>
      </c>
      <c r="M67" s="34">
        <f>K67*'1a. Spredningsmodell input'!$C$25/'1a. Spredningsmodell input'!$C$26+1</f>
        <v>6.5250000000000039</v>
      </c>
      <c r="N67" s="284">
        <f>'1a. Spredningsmodell input'!$C$26/M67</f>
        <v>6.1302681992337134E-2</v>
      </c>
      <c r="O67" s="287" t="e">
        <f>0.000000001*(J67*'1a. Spredningsmodell input'!$C$25+L67)*1000*'1a. Spredningsmodell input'!$B$45</f>
        <v>#VALUE!</v>
      </c>
      <c r="P67" s="287" t="e">
        <f>O67*Stoff!P67</f>
        <v>#VALUE!</v>
      </c>
      <c r="Q67" s="287">
        <f>N67/(N67+Stoff!M67)</f>
        <v>1</v>
      </c>
      <c r="R67" s="288">
        <f>IF(ISNUMBER('1f. Kons. resipient'!E67),'1f. Kons. resipient'!E67,0)</f>
        <v>0</v>
      </c>
      <c r="S67" s="288">
        <f>0.000000001*'1a. Spredningsmodell input'!$C$36*R67*1000</f>
        <v>0</v>
      </c>
      <c r="T67" s="288">
        <f>1/'1a. Spredningsmodell input'!$C$35</f>
        <v>1</v>
      </c>
      <c r="U67" s="288">
        <f>1/'1a. Spredningsmodell input'!$C$35</f>
        <v>1</v>
      </c>
      <c r="V67" s="300" t="e">
        <f>(1/($N67+Stoff!$L67))*(LN(($D67*$I67/($D67*$I67+$J67))*($F67+Stoff!$L67+$N67+Stoff!$M67)/($N67+Stoff!$M67)))</f>
        <v>#VALUE!</v>
      </c>
      <c r="W67" s="290" t="e">
        <f>($D67-Stoff!$P67*$D67)*EXP(-($F67+Stoff!$L67*365)*V67)</f>
        <v>#VALUE!</v>
      </c>
      <c r="X67" s="291" t="e">
        <f>(Stoff!$P67*$D67)*EXP(-'1a. Spredningsmodell input'!$B$43*V67)</f>
        <v>#VALUE!</v>
      </c>
      <c r="Y67" s="290" t="e">
        <f>($D67-Stoff!$P67*$D67-W67)*($F67/($F67+Stoff!$L67*365))</f>
        <v>#VALUE!</v>
      </c>
      <c r="Z67" s="290" t="e">
        <f>(Stoff!$P67*$D67)-X67</f>
        <v>#VALUE!</v>
      </c>
      <c r="AA67" s="290" t="e">
        <f>($O67+Y67)*EXP(-($N67+Stoff!$M67*365)*V67)</f>
        <v>#VALUE!</v>
      </c>
      <c r="AB67" s="290" t="e">
        <f>(Stoff!$P67*$O67+Z67)*EXP(-('1a. Spredningsmodell input'!$B$46)*V67)</f>
        <v>#VALUE!</v>
      </c>
      <c r="AC67" s="292" t="e">
        <f>((AA67+AB67)*1000000000)/('1a. Spredningsmodell input'!$B$45*1000)</f>
        <v>#VALUE!</v>
      </c>
      <c r="AD67" s="294" t="e">
        <f>0.001*AC67/('1a. Spredningsmodell input'!$C$25+'1a. Spredningsmodell input'!$C$26/Mellomregninger!$K67)</f>
        <v>#VALUE!</v>
      </c>
      <c r="AE67" s="294" t="e">
        <f>1000*AD67/$K67+AB67*1000000000/('1a. Spredningsmodell input'!$B$45*1000)</f>
        <v>#VALUE!</v>
      </c>
      <c r="AF67" s="294" t="e">
        <f t="shared" si="0"/>
        <v>#VALUE!</v>
      </c>
      <c r="AG67" s="294" t="e">
        <f>AB67*1000000000/('1a. Spredningsmodell input'!$B$45*1000)</f>
        <v>#VALUE!</v>
      </c>
      <c r="AH67" s="300" t="e">
        <f>(1/('1a. Spredningsmodell input'!$B$46))*(LN(($D67*Stoff!$P67/($D67*Stoff!$P67+$P67*Stoff!$P67))*('1a. Spredningsmodell input'!$B$43+'1a. Spredningsmodell input'!$B$46)/('1a. Spredningsmodell input'!$B$46)))</f>
        <v>#VALUE!</v>
      </c>
      <c r="AI67" s="290" t="e">
        <f>($D67-Stoff!$P67*$D67)*EXP(-($F67+Stoff!$L67*365)*AH67)</f>
        <v>#VALUE!</v>
      </c>
      <c r="AJ67" s="291" t="e">
        <f>(Stoff!$P67*$D67)*EXP(-'1a. Spredningsmodell input'!$B$43*AH67)</f>
        <v>#VALUE!</v>
      </c>
      <c r="AK67" s="290" t="e">
        <f>($D67-Stoff!$P67*$D67-AI67)*($F67/($F67+Stoff!$L67*365))</f>
        <v>#VALUE!</v>
      </c>
      <c r="AL67" s="290" t="e">
        <f>(Stoff!$P67*$D67)-AJ67</f>
        <v>#VALUE!</v>
      </c>
      <c r="AM67" s="290" t="e">
        <f>($O67+AK67)*EXP(-($N67+Stoff!$M67*365)*AH67)</f>
        <v>#VALUE!</v>
      </c>
      <c r="AN67" s="290" t="e">
        <f>(Stoff!$P67*$O67+AL67)*EXP(-('1a. Spredningsmodell input'!$B$46)*AH67)</f>
        <v>#VALUE!</v>
      </c>
      <c r="AO67" s="292" t="e">
        <f>((AM67+AN67)*1000000000)/('1a. Spredningsmodell input'!$B$45*1000)</f>
        <v>#VALUE!</v>
      </c>
      <c r="AP67" s="294" t="e">
        <f>0.001*AO67/('1a. Spredningsmodell input'!$C$25+'1a. Spredningsmodell input'!$C$26/Mellomregninger!$K67)</f>
        <v>#VALUE!</v>
      </c>
      <c r="AQ67" s="294" t="e">
        <f>1000*AP67/$K67+AN67*1000000000/('1a. Spredningsmodell input'!$B$45*1000)</f>
        <v>#VALUE!</v>
      </c>
      <c r="AR67" s="294" t="e">
        <f t="shared" si="1"/>
        <v>#VALUE!</v>
      </c>
      <c r="AS67" s="294" t="e">
        <f>AN67*1000000000/('1a. Spredningsmodell input'!$B$45*1000)</f>
        <v>#VALUE!</v>
      </c>
      <c r="AT67" s="295">
        <f t="shared" si="25"/>
        <v>5</v>
      </c>
      <c r="AU67" s="290" t="e">
        <f>($D67-Stoff!$P67*$D67)*EXP(-($F67+Stoff!$L67*365)*AT67)</f>
        <v>#VALUE!</v>
      </c>
      <c r="AV67" s="291" t="e">
        <f>(Stoff!$P67*$D67)*EXP(-'1a. Spredningsmodell input'!$B$43*AT67)</f>
        <v>#VALUE!</v>
      </c>
      <c r="AW67" s="290" t="e">
        <f>($D67-Stoff!$P67*$D67-AU67)*($F67/($F67+Stoff!$L67*365))</f>
        <v>#VALUE!</v>
      </c>
      <c r="AX67" s="290" t="e">
        <f>(Stoff!$P67*$D67)-AV67</f>
        <v>#VALUE!</v>
      </c>
      <c r="AY67" s="290" t="e">
        <f>($O67+AW67)*EXP(-($N67+Stoff!$M67*365)*AT67)</f>
        <v>#VALUE!</v>
      </c>
      <c r="AZ67" s="290" t="e">
        <f>(Stoff!$P67*$O67+AX67)*EXP(-('1a. Spredningsmodell input'!$B$46)*AT67)</f>
        <v>#VALUE!</v>
      </c>
      <c r="BA67" s="292" t="e">
        <f>((AY67+AZ67)*1000000000)/('1a. Spredningsmodell input'!$B$45*1000)</f>
        <v>#VALUE!</v>
      </c>
      <c r="BB67" s="294" t="e">
        <f>0.001*BA67/('1a. Spredningsmodell input'!$C$25+'1a. Spredningsmodell input'!$C$26/Mellomregninger!$K67)</f>
        <v>#VALUE!</v>
      </c>
      <c r="BC67" s="294" t="e">
        <f>1000*BB67/$K67+AZ67*1000000000/('1a. Spredningsmodell input'!$B$45*1000)</f>
        <v>#VALUE!</v>
      </c>
      <c r="BD67" s="294" t="e">
        <f t="shared" si="2"/>
        <v>#VALUE!</v>
      </c>
      <c r="BE67" s="294" t="e">
        <f>AZ67*1000000000/('1a. Spredningsmodell input'!$B$45*1000)</f>
        <v>#VALUE!</v>
      </c>
      <c r="BF67" s="295">
        <f t="shared" si="26"/>
        <v>20</v>
      </c>
      <c r="BG67" s="290" t="e">
        <f>($D67-Stoff!$P67*$D67)*EXP(-($F67+Stoff!$L67*365)*BF67)</f>
        <v>#VALUE!</v>
      </c>
      <c r="BH67" s="291" t="e">
        <f>(Stoff!$P67*$D67)*EXP(-'1a. Spredningsmodell input'!$B$43*BF67)</f>
        <v>#VALUE!</v>
      </c>
      <c r="BI67" s="290" t="e">
        <f>($D67-Stoff!$P67*$D67-BG67)*($F67/($F67+Stoff!$L67*365))</f>
        <v>#VALUE!</v>
      </c>
      <c r="BJ67" s="290" t="e">
        <f>(Stoff!$P67*$D67)-BH67</f>
        <v>#VALUE!</v>
      </c>
      <c r="BK67" s="290" t="e">
        <f>($O67+BI67)*EXP(-($N67+Stoff!$M67*365)*BF67)</f>
        <v>#VALUE!</v>
      </c>
      <c r="BL67" s="290" t="e">
        <f>(Stoff!$P67*$O67+BJ67)*EXP(-('1a. Spredningsmodell input'!$B$46)*BF67)</f>
        <v>#VALUE!</v>
      </c>
      <c r="BM67" s="292" t="e">
        <f>((BK67+BL67)*1000000000)/('1a. Spredningsmodell input'!$B$45*1000)</f>
        <v>#VALUE!</v>
      </c>
      <c r="BN67" s="294" t="e">
        <f>0.001*BM67/('1a. Spredningsmodell input'!$C$25+'1a. Spredningsmodell input'!$C$26/Mellomregninger!$K67)</f>
        <v>#VALUE!</v>
      </c>
      <c r="BO67" s="294" t="e">
        <f>1000*BN67/$K67+BL67*1000000000/('1a. Spredningsmodell input'!$B$45*1000)</f>
        <v>#VALUE!</v>
      </c>
      <c r="BP67" s="294" t="e">
        <f t="shared" si="3"/>
        <v>#VALUE!</v>
      </c>
      <c r="BQ67" s="294" t="e">
        <f>BL67*1000000000/('1a. Spredningsmodell input'!$B$45*1000)</f>
        <v>#VALUE!</v>
      </c>
      <c r="BR67" s="295">
        <f t="shared" si="27"/>
        <v>100</v>
      </c>
      <c r="BS67" s="290" t="e">
        <f>($D67-Stoff!$P67*$D67)*EXP(-($F67+Stoff!$L67*365)*BR67)</f>
        <v>#VALUE!</v>
      </c>
      <c r="BT67" s="291" t="e">
        <f>(Stoff!$P67*$D67)*EXP(-'1a. Spredningsmodell input'!$B$43*BR67)</f>
        <v>#VALUE!</v>
      </c>
      <c r="BU67" s="290" t="e">
        <f>($D67-Stoff!$P67*$D67-BS67)*($F67/($F67+Stoff!$L67*365))</f>
        <v>#VALUE!</v>
      </c>
      <c r="BV67" s="290" t="e">
        <f>(Stoff!$P67*$D67)-BT67</f>
        <v>#VALUE!</v>
      </c>
      <c r="BW67" s="290" t="e">
        <f>($O67+BU67)*EXP(-($N67+Stoff!$M67*365)*BR67)</f>
        <v>#VALUE!</v>
      </c>
      <c r="BX67" s="290" t="e">
        <f>(Stoff!$P67*$O67+BV67)*EXP(-('1a. Spredningsmodell input'!$B$46)*BR67)</f>
        <v>#VALUE!</v>
      </c>
      <c r="BY67" s="292" t="e">
        <f>((BW67+BX67)*1000000000)/('1a. Spredningsmodell input'!$B$45*1000)</f>
        <v>#VALUE!</v>
      </c>
      <c r="BZ67" s="294" t="e">
        <f>0.001*BY67/('1a. Spredningsmodell input'!$C$25+'1a. Spredningsmodell input'!$C$26/Mellomregninger!$K67)</f>
        <v>#VALUE!</v>
      </c>
      <c r="CA67" s="294" t="e">
        <f>1000*BZ67/$K67+BX67*1000000000/('1a. Spredningsmodell input'!$B$45*1000)</f>
        <v>#VALUE!</v>
      </c>
      <c r="CB67" s="294" t="e">
        <f t="shared" si="4"/>
        <v>#VALUE!</v>
      </c>
      <c r="CC67" s="294" t="e">
        <f>BX67*1000000000/('1a. Spredningsmodell input'!$B$45*1000)</f>
        <v>#VALUE!</v>
      </c>
      <c r="CD67" s="294" t="e">
        <f>V67+'1a. Spredningsmodell input'!$C$35</f>
        <v>#VALUE!</v>
      </c>
      <c r="CE67" s="294" t="e">
        <f>($S67+$Q67*($O67+$I67*($D67*(1-Stoff!$P67))*(1-EXP(-($F67+Stoff!$L67*365)*CD67)))*(1-EXP(-($N67+Stoff!$M67*365)*CD67)))</f>
        <v>#VALUE!</v>
      </c>
      <c r="CF67" s="294" t="e">
        <f t="shared" si="5"/>
        <v>#VALUE!</v>
      </c>
      <c r="CG67" s="296" t="e">
        <f>(CF67/1000000)*'1a. Spredningsmodell input'!$B$49*'1a. Spredningsmodell input'!$C$35</f>
        <v>#VALUE!</v>
      </c>
      <c r="CH67" s="294" t="e">
        <f t="shared" si="17"/>
        <v>#VALUE!</v>
      </c>
      <c r="CI67" s="290" t="e">
        <f>(CH67/1000000)*'1a. Spredningsmodell input'!$B$49*'1a. Spredningsmodell input'!$C$35</f>
        <v>#VALUE!</v>
      </c>
      <c r="CJ67" s="297" t="e">
        <f>($S67)*EXP(-(Stoff!$N67*365+$U67)*CD67)+CG67</f>
        <v>#VALUE!</v>
      </c>
      <c r="CK67" s="297" t="e">
        <f>(Stoff!$P67*$S67+CI67)*EXP(-$T67*CD67)</f>
        <v>#VALUE!</v>
      </c>
      <c r="CL67" s="297" t="e">
        <f>(CJ67+CK67)*1000000000/('1a. Spredningsmodell input'!$C$36*1000)</f>
        <v>#VALUE!</v>
      </c>
      <c r="CM67" s="297" t="e">
        <f>$G67*(1-EXP(-'1a. Spredningsmodell input'!$B$43*Mellomregninger!CD67))*(1-EXP(-'1a. Spredningsmodell input'!$B$46*Mellomregninger!CD67))</f>
        <v>#VALUE!</v>
      </c>
      <c r="CN67" s="297"/>
      <c r="CO67" s="297"/>
      <c r="CP67" s="290">
        <f>IF(ISNUMBER(AH67),AH67+'1a. Spredningsmodell input'!$C$35,'1a. Spredningsmodell input'!$C$35)</f>
        <v>1</v>
      </c>
      <c r="CQ67" s="294" t="e">
        <f>($S67+$Q67*($O67+$I67*($D67*(1-Stoff!$P67))*(1-EXP(-($F67+Stoff!$L67*365)*CP67)))*(1-EXP(-($N67+Stoff!$M67*365)*CP67)))</f>
        <v>#VALUE!</v>
      </c>
      <c r="CR67" s="294" t="e">
        <f t="shared" si="6"/>
        <v>#VALUE!</v>
      </c>
      <c r="CS67" s="296" t="e">
        <f>(CR67/1000000)*('1a. Spredningsmodell input'!$B$49*'1a. Spredningsmodell input'!$C$35)</f>
        <v>#VALUE!</v>
      </c>
      <c r="CT67" s="294" t="e">
        <f t="shared" si="7"/>
        <v>#VALUE!</v>
      </c>
      <c r="CU67" s="290" t="e">
        <f>(CT67/1000000)*('1a. Spredningsmodell input'!$B$49)*'1a. Spredningsmodell input'!$C$35</f>
        <v>#VALUE!</v>
      </c>
      <c r="CV67" s="297" t="e">
        <f>($S67)*EXP(-(Stoff!$N67*365+$U67)*CP67)+CS67</f>
        <v>#VALUE!</v>
      </c>
      <c r="CW67" s="297" t="e">
        <f>(Stoff!$P67*$S67+CU67)*EXP(-$T67*CP67)</f>
        <v>#VALUE!</v>
      </c>
      <c r="CX67" s="297">
        <f>IF(ISERROR(CV67),0,(CV67+CW67)*1000000000/('1a. Spredningsmodell input'!$C$36*1000))</f>
        <v>0</v>
      </c>
      <c r="CY67" s="297" t="e">
        <f>$G67*(1-EXP(-'1a. Spredningsmodell input'!$B$43*Mellomregninger!CP67))*(1-EXP(-'1a. Spredningsmodell input'!$B$46*Mellomregninger!CP67))</f>
        <v>#VALUE!</v>
      </c>
      <c r="CZ67" s="297"/>
      <c r="DA67" s="297"/>
      <c r="DB67" s="262">
        <f t="shared" si="28"/>
        <v>5</v>
      </c>
      <c r="DC67" s="298" t="e">
        <f>($S67+$Q67*($O67+$I67*($D67*(1-Stoff!$P67))*(1-EXP(-($F67+Stoff!$L67*365)*DB67)))*(1-EXP(-($N67+Stoff!$M67*365)*DB67)))</f>
        <v>#VALUE!</v>
      </c>
      <c r="DD67" s="294" t="e">
        <f t="shared" si="8"/>
        <v>#VALUE!</v>
      </c>
      <c r="DE67" s="296" t="e">
        <f>(DD67/1000000)*('1a. Spredningsmodell input'!$B$49)*'1a. Spredningsmodell input'!$C$35</f>
        <v>#VALUE!</v>
      </c>
      <c r="DF67" s="294" t="e">
        <f t="shared" si="19"/>
        <v>#VALUE!</v>
      </c>
      <c r="DG67" s="290" t="e">
        <f>(DF67/1000000)*('1a. Spredningsmodell input'!$B$49)*'1a. Spredningsmodell input'!$C$35</f>
        <v>#VALUE!</v>
      </c>
      <c r="DH67" s="297" t="e">
        <f>($S67)*EXP(-(Stoff!$N67*365+$U67)*DB67)+DE67</f>
        <v>#VALUE!</v>
      </c>
      <c r="DI67" s="297" t="e">
        <f>(Stoff!$P67*$S67+DG67)*EXP(-$T67*DB67)</f>
        <v>#VALUE!</v>
      </c>
      <c r="DJ67" s="297" t="e">
        <f>(DH67+DI67)*1000000000/('1a. Spredningsmodell input'!$C$36*1000)</f>
        <v>#VALUE!</v>
      </c>
      <c r="DK67" s="297" t="e">
        <f>$G67*(1-EXP(-'1a. Spredningsmodell input'!$B$43*Mellomregninger!DB67))*(1-EXP(-'1a. Spredningsmodell input'!$B$46*Mellomregninger!DB67))</f>
        <v>#VALUE!</v>
      </c>
      <c r="DL67" s="297"/>
      <c r="DM67" s="297"/>
      <c r="DN67" s="262">
        <f t="shared" si="29"/>
        <v>20</v>
      </c>
      <c r="DO67" s="298" t="e">
        <f>($S67+$Q67*($O67+$I67*($D67*(1-Stoff!$P67))*(1-EXP(-($F67+Stoff!$L67*365)*DN67)))*(1-EXP(-($N67+Stoff!$M67*365)*DN67)))</f>
        <v>#VALUE!</v>
      </c>
      <c r="DP67" s="294" t="e">
        <f t="shared" si="21"/>
        <v>#VALUE!</v>
      </c>
      <c r="DQ67" s="296" t="e">
        <f>(DP67/1000000)*('1a. Spredningsmodell input'!$B$49)*'1a. Spredningsmodell input'!$C$35</f>
        <v>#VALUE!</v>
      </c>
      <c r="DR67" s="294" t="e">
        <f t="shared" si="9"/>
        <v>#VALUE!</v>
      </c>
      <c r="DS67" s="290" t="e">
        <f>(DR67/1000000)*('1a. Spredningsmodell input'!$B$49)*'1a. Spredningsmodell input'!$C$35</f>
        <v>#VALUE!</v>
      </c>
      <c r="DT67" s="297" t="e">
        <f>($S67)*EXP(-(Stoff!$N67*365+$U67)*DN67)+DQ67</f>
        <v>#VALUE!</v>
      </c>
      <c r="DU67" s="297" t="e">
        <f>(Stoff!$P67*$S67+DS67)*EXP(-$T67*DN67)</f>
        <v>#VALUE!</v>
      </c>
      <c r="DV67" s="297" t="e">
        <f>(DT67+DU67)*1000000000/('1a. Spredningsmodell input'!$C$36*1000)</f>
        <v>#VALUE!</v>
      </c>
      <c r="DW67" s="297" t="e">
        <f>$G67*(1-EXP(-'1a. Spredningsmodell input'!$B$43*Mellomregninger!DN67))*(1-EXP(-'1a. Spredningsmodell input'!$B$46*Mellomregninger!DN67))</f>
        <v>#VALUE!</v>
      </c>
      <c r="DX67" s="297"/>
      <c r="DY67" s="297"/>
      <c r="DZ67" s="262">
        <f t="shared" si="30"/>
        <v>100</v>
      </c>
      <c r="EA67" s="298" t="e">
        <f>($S67+$Q67*($O67+$I67*($D67*(1-Stoff!$P67))*(1-EXP(-($F67+Stoff!$L67*365)*DZ67)))*(1-EXP(-($N67+Stoff!$M67*365)*DZ67)))</f>
        <v>#VALUE!</v>
      </c>
      <c r="EB67" s="294" t="e">
        <f t="shared" si="10"/>
        <v>#VALUE!</v>
      </c>
      <c r="EC67" s="296" t="e">
        <f>(EB67/1000000)*('1a. Spredningsmodell input'!$B$49)*'1a. Spredningsmodell input'!$C$35</f>
        <v>#VALUE!</v>
      </c>
      <c r="ED67" s="294" t="e">
        <f t="shared" si="11"/>
        <v>#VALUE!</v>
      </c>
      <c r="EE67" s="290" t="e">
        <f>(ED67/1000000)*('1a. Spredningsmodell input'!$B$49)*'1a. Spredningsmodell input'!$C$35</f>
        <v>#VALUE!</v>
      </c>
      <c r="EF67" s="297" t="e">
        <f>($S67)*EXP(-(Stoff!$N67*365+$U67)*DZ67)+EC67</f>
        <v>#VALUE!</v>
      </c>
      <c r="EG67" s="297" t="e">
        <f>(Stoff!$P67*$S67+EE67)*EXP(-$T67*DZ67)</f>
        <v>#VALUE!</v>
      </c>
      <c r="EH67" s="297" t="e">
        <f>(EF67+EG67)*1000000000/('1a. Spredningsmodell input'!$C$36*1000)</f>
        <v>#VALUE!</v>
      </c>
      <c r="EI67" s="297" t="e">
        <f>$G67*(1-EXP(-'1a. Spredningsmodell input'!$B$43*Mellomregninger!DZ67))*(1-EXP(-'1a. Spredningsmodell input'!$B$46*Mellomregninger!DZ67))</f>
        <v>#VALUE!</v>
      </c>
      <c r="EJ67" s="297"/>
      <c r="EK67" s="297"/>
      <c r="EL67" s="262">
        <f t="shared" si="31"/>
        <v>1.0000000000000001E+25</v>
      </c>
      <c r="EM67" s="294" t="e">
        <f>($S67+$Q67*($O67+$I67*($D67*(1-Stoff!$P67))*(1-EXP(-($F67+Stoff!$L67*365)*EL67)))*(1-EXP(-($N67+Stoff!$M67*365)*EL67)))</f>
        <v>#VALUE!</v>
      </c>
      <c r="EN67" s="296" t="e">
        <f>($S67+$Q67*($O67+$I67*($D67*(1-Stoff!$P67))*(1-EXP(-($F67+Stoff!$L67*365)*(EL67-'1a. Spredningsmodell input'!$C$35))))*(1-EXP(-($N67+Stoff!$M67*365)*(EL67-'1a. Spredningsmodell input'!$C$35))))</f>
        <v>#VALUE!</v>
      </c>
      <c r="EO67" s="294" t="e">
        <f>IF(EL67&lt;'1a. Spredningsmodell input'!$C$35,EM67-($S67)*EXP(-(Stoff!$N67*365+$U67)*EL67),EM67-EN67)</f>
        <v>#VALUE!</v>
      </c>
      <c r="EP67" s="290" t="e">
        <f>((($D67*(Stoff!$P67))*(1-EXP(-'1a. Spredningsmodell input'!$B$43*EL67)))*(1-EXP(-'1a. Spredningsmodell input'!$B$46*EL67)))</f>
        <v>#VALUE!</v>
      </c>
      <c r="EQ67" s="294" t="e">
        <f>((($D67*(Stoff!$P67))*(1-EXP(-'1a. Spredningsmodell input'!$B$43*(EL67-'1a. Spredningsmodell input'!$C$35))))*(1-EXP(-'1a. Spredningsmodell input'!$B$46*(EL67-'1a. Spredningsmodell input'!$C$35))))</f>
        <v>#VALUE!</v>
      </c>
      <c r="ER67" s="290" t="e">
        <f>IF(EL67&lt;'1a. Spredningsmodell input'!$C$35,0,EP67-EQ67)</f>
        <v>#VALUE!</v>
      </c>
      <c r="ES67" s="297" t="e">
        <f>($S67)*EXP(-(Stoff!$N67*365+$U67)*EL67)+EO67</f>
        <v>#VALUE!</v>
      </c>
      <c r="ET67" s="297" t="e">
        <f>(Stoff!$P67*$S67+ER67)*EXP(-$T67*EL67)</f>
        <v>#VALUE!</v>
      </c>
      <c r="EU67" s="297" t="e">
        <f>(ES67+ET67)*1000000000/('1a. Spredningsmodell input'!$C$36*1000)</f>
        <v>#VALUE!</v>
      </c>
      <c r="EV67" s="262" t="e">
        <f t="shared" si="32"/>
        <v>#VALUE!</v>
      </c>
      <c r="EW67" s="299" t="e">
        <f t="shared" si="33"/>
        <v>#VALUE!</v>
      </c>
      <c r="EX67" s="262" t="e">
        <f t="shared" si="34"/>
        <v>#VALUE!</v>
      </c>
    </row>
    <row r="68" spans="1:154" x14ac:dyDescent="0.35">
      <c r="A68" s="50" t="s">
        <v>142</v>
      </c>
      <c r="B68" s="34" t="str">
        <f>IF(ISNUMBER('1c. Kons. porevann'!E68),1000*'1c. Kons. porevann'!E68,IF(ISNUMBER('1b. Kons. umettet jord'!E68),1000*'1b. Kons. umettet jord'!E68/C68,""))</f>
        <v/>
      </c>
      <c r="C68" s="244">
        <f>IF(Stoff!B68="uorganisk",Stoff!C68,Stoff!D68*'1a. Spredningsmodell input'!$C$11)</f>
        <v>5658.6</v>
      </c>
      <c r="D68" s="34" t="str">
        <f>IF(ISNUMBER(B68),0.000001*('1b. Kons. umettet jord'!G68*'1a. Spredningsmodell input'!$C$12+B68*0.001*'1a. Spredningsmodell input'!$C$14)*1000*'1a. Spredningsmodell input'!$B$41*'1a. Spredningsmodell input'!$C$18,"")</f>
        <v/>
      </c>
      <c r="E68" s="283">
        <f>C68*'1a. Spredningsmodell input'!$C$12/'1a. Spredningsmodell input'!$C$14+1</f>
        <v>48099.1</v>
      </c>
      <c r="F68" s="284">
        <f>'1a. Spredningsmodell input'!$B$43/E68</f>
        <v>3.1185614699651342E-5</v>
      </c>
      <c r="G68" s="34" t="e">
        <f>Stoff!P68*Mellomregninger!D68</f>
        <v>#VALUE!</v>
      </c>
      <c r="H68" s="283" t="e">
        <f>(D68-G68)*(F68/(F68+Stoff!L68))</f>
        <v>#VALUE!</v>
      </c>
      <c r="I68" s="283">
        <f>F68/(F68+Stoff!L68)</f>
        <v>1</v>
      </c>
      <c r="J68" s="285" t="str">
        <f>IF(B68="","",IF(ISNUMBER('1d. Kons. mettet sone'!E68),'1d. Kons. mettet sone'!E68,IF(ISNUMBER('1e. Kons. grunnvann'!E68),'1e. Kons. grunnvann'!E68*Mellomregninger!K68,0)))</f>
        <v/>
      </c>
      <c r="K68" s="286">
        <f>IF(Stoff!B68="uorganisk",Stoff!C68,Stoff!D68*'1a. Spredningsmodell input'!$C$24)</f>
        <v>565.86</v>
      </c>
      <c r="L68" s="27" t="e">
        <f>IF(ISNUMBER('1e. Kons. grunnvann'!E68),1000*'1e. Kons. grunnvann'!E68,1000*J68/K68)</f>
        <v>#VALUE!</v>
      </c>
      <c r="M68" s="34">
        <f>K68*'1a. Spredningsmodell input'!$C$25/'1a. Spredningsmodell input'!$C$26+1</f>
        <v>2405.9049999999997</v>
      </c>
      <c r="N68" s="284">
        <f>'1a. Spredningsmodell input'!$C$26/M68</f>
        <v>1.6625760368759368E-4</v>
      </c>
      <c r="O68" s="287" t="e">
        <f>0.000000001*(J68*'1a. Spredningsmodell input'!$C$25+L68)*1000*'1a. Spredningsmodell input'!$B$45</f>
        <v>#VALUE!</v>
      </c>
      <c r="P68" s="287" t="e">
        <f>O68*Stoff!P68</f>
        <v>#VALUE!</v>
      </c>
      <c r="Q68" s="287">
        <f>N68/(N68+Stoff!M68)</f>
        <v>1</v>
      </c>
      <c r="R68" s="288">
        <f>IF(ISNUMBER('1f. Kons. resipient'!E68),'1f. Kons. resipient'!E68,0)</f>
        <v>0</v>
      </c>
      <c r="S68" s="288">
        <f>0.000000001*'1a. Spredningsmodell input'!$C$36*R68*1000</f>
        <v>0</v>
      </c>
      <c r="T68" s="288">
        <f>1/'1a. Spredningsmodell input'!$C$35</f>
        <v>1</v>
      </c>
      <c r="U68" s="288">
        <f>1/'1a. Spredningsmodell input'!$C$35</f>
        <v>1</v>
      </c>
      <c r="V68" s="300" t="e">
        <f>(1/($N68+Stoff!$L68))*(LN(($D68*$I68/($D68*$I68+$J68))*($F68+Stoff!$L68+$N68+Stoff!$M68)/($N68+Stoff!$M68)))</f>
        <v>#VALUE!</v>
      </c>
      <c r="W68" s="290" t="e">
        <f>($D68-Stoff!$P68*$D68)*EXP(-($F68+Stoff!$L68*365)*V68)</f>
        <v>#VALUE!</v>
      </c>
      <c r="X68" s="291" t="e">
        <f>(Stoff!$P68*$D68)*EXP(-'1a. Spredningsmodell input'!$B$43*V68)</f>
        <v>#VALUE!</v>
      </c>
      <c r="Y68" s="290" t="e">
        <f>($D68-Stoff!$P68*$D68-W68)*($F68/($F68+Stoff!$L68*365))</f>
        <v>#VALUE!</v>
      </c>
      <c r="Z68" s="290" t="e">
        <f>(Stoff!$P68*$D68)-X68</f>
        <v>#VALUE!</v>
      </c>
      <c r="AA68" s="290" t="e">
        <f>($O68+Y68)*EXP(-($N68+Stoff!$M68*365)*V68)</f>
        <v>#VALUE!</v>
      </c>
      <c r="AB68" s="290" t="e">
        <f>(Stoff!$P68*$O68+Z68)*EXP(-('1a. Spredningsmodell input'!$B$46)*V68)</f>
        <v>#VALUE!</v>
      </c>
      <c r="AC68" s="292" t="e">
        <f>((AA68+AB68)*1000000000)/('1a. Spredningsmodell input'!$B$45*1000)</f>
        <v>#VALUE!</v>
      </c>
      <c r="AD68" s="294" t="e">
        <f>0.001*AC68/('1a. Spredningsmodell input'!$C$25+'1a. Spredningsmodell input'!$C$26/Mellomregninger!$K68)</f>
        <v>#VALUE!</v>
      </c>
      <c r="AE68" s="294" t="e">
        <f>1000*AD68/$K68+AB68*1000000000/('1a. Spredningsmodell input'!$B$45*1000)</f>
        <v>#VALUE!</v>
      </c>
      <c r="AF68" s="294" t="e">
        <f t="shared" ref="AF68:AF114" si="35">1000*AD68/$K68</f>
        <v>#VALUE!</v>
      </c>
      <c r="AG68" s="294" t="e">
        <f>AB68*1000000000/('1a. Spredningsmodell input'!$B$45*1000)</f>
        <v>#VALUE!</v>
      </c>
      <c r="AH68" s="300" t="e">
        <f>(1/('1a. Spredningsmodell input'!$B$46))*(LN(($D68*Stoff!$P68/($D68*Stoff!$P68+$P68*Stoff!$P68))*('1a. Spredningsmodell input'!$B$43+'1a. Spredningsmodell input'!$B$46)/('1a. Spredningsmodell input'!$B$46)))</f>
        <v>#VALUE!</v>
      </c>
      <c r="AI68" s="290" t="e">
        <f>($D68-Stoff!$P68*$D68)*EXP(-($F68+Stoff!$L68*365)*AH68)</f>
        <v>#VALUE!</v>
      </c>
      <c r="AJ68" s="291" t="e">
        <f>(Stoff!$P68*$D68)*EXP(-'1a. Spredningsmodell input'!$B$43*AH68)</f>
        <v>#VALUE!</v>
      </c>
      <c r="AK68" s="290" t="e">
        <f>($D68-Stoff!$P68*$D68-AI68)*($F68/($F68+Stoff!$L68*365))</f>
        <v>#VALUE!</v>
      </c>
      <c r="AL68" s="290" t="e">
        <f>(Stoff!$P68*$D68)-AJ68</f>
        <v>#VALUE!</v>
      </c>
      <c r="AM68" s="290" t="e">
        <f>($O68+AK68)*EXP(-($N68+Stoff!$M68*365)*AH68)</f>
        <v>#VALUE!</v>
      </c>
      <c r="AN68" s="290" t="e">
        <f>(Stoff!$P68*$O68+AL68)*EXP(-('1a. Spredningsmodell input'!$B$46)*AH68)</f>
        <v>#VALUE!</v>
      </c>
      <c r="AO68" s="292" t="e">
        <f>((AM68+AN68)*1000000000)/('1a. Spredningsmodell input'!$B$45*1000)</f>
        <v>#VALUE!</v>
      </c>
      <c r="AP68" s="294" t="e">
        <f>0.001*AO68/('1a. Spredningsmodell input'!$C$25+'1a. Spredningsmodell input'!$C$26/Mellomregninger!$K68)</f>
        <v>#VALUE!</v>
      </c>
      <c r="AQ68" s="294" t="e">
        <f>1000*AP68/$K68+AN68*1000000000/('1a. Spredningsmodell input'!$B$45*1000)</f>
        <v>#VALUE!</v>
      </c>
      <c r="AR68" s="294" t="e">
        <f t="shared" ref="AR68:AR114" si="36">1000*AP68/$K68</f>
        <v>#VALUE!</v>
      </c>
      <c r="AS68" s="294" t="e">
        <f>AN68*1000000000/('1a. Spredningsmodell input'!$B$45*1000)</f>
        <v>#VALUE!</v>
      </c>
      <c r="AT68" s="295">
        <f t="shared" ref="AT68:AT99" si="37">AT67</f>
        <v>5</v>
      </c>
      <c r="AU68" s="290" t="e">
        <f>($D68-Stoff!$P68*$D68)*EXP(-($F68+Stoff!$L68*365)*AT68)</f>
        <v>#VALUE!</v>
      </c>
      <c r="AV68" s="291" t="e">
        <f>(Stoff!$P68*$D68)*EXP(-'1a. Spredningsmodell input'!$B$43*AT68)</f>
        <v>#VALUE!</v>
      </c>
      <c r="AW68" s="290" t="e">
        <f>($D68-Stoff!$P68*$D68-AU68)*($F68/($F68+Stoff!$L68*365))</f>
        <v>#VALUE!</v>
      </c>
      <c r="AX68" s="290" t="e">
        <f>(Stoff!$P68*$D68)-AV68</f>
        <v>#VALUE!</v>
      </c>
      <c r="AY68" s="290" t="e">
        <f>($O68+AW68)*EXP(-($N68+Stoff!$M68*365)*AT68)</f>
        <v>#VALUE!</v>
      </c>
      <c r="AZ68" s="290" t="e">
        <f>(Stoff!$P68*$O68+AX68)*EXP(-('1a. Spredningsmodell input'!$B$46)*AT68)</f>
        <v>#VALUE!</v>
      </c>
      <c r="BA68" s="292" t="e">
        <f>((AY68+AZ68)*1000000000)/('1a. Spredningsmodell input'!$B$45*1000)</f>
        <v>#VALUE!</v>
      </c>
      <c r="BB68" s="294" t="e">
        <f>0.001*BA68/('1a. Spredningsmodell input'!$C$25+'1a. Spredningsmodell input'!$C$26/Mellomregninger!$K68)</f>
        <v>#VALUE!</v>
      </c>
      <c r="BC68" s="294" t="e">
        <f>1000*BB68/$K68+AZ68*1000000000/('1a. Spredningsmodell input'!$B$45*1000)</f>
        <v>#VALUE!</v>
      </c>
      <c r="BD68" s="294" t="e">
        <f t="shared" ref="BD68:BD114" si="38">1000*BB68/$K68</f>
        <v>#VALUE!</v>
      </c>
      <c r="BE68" s="294" t="e">
        <f>AZ68*1000000000/('1a. Spredningsmodell input'!$B$45*1000)</f>
        <v>#VALUE!</v>
      </c>
      <c r="BF68" s="295">
        <f t="shared" ref="BF68:BF99" si="39">BF67</f>
        <v>20</v>
      </c>
      <c r="BG68" s="290" t="e">
        <f>($D68-Stoff!$P68*$D68)*EXP(-($F68+Stoff!$L68*365)*BF68)</f>
        <v>#VALUE!</v>
      </c>
      <c r="BH68" s="291" t="e">
        <f>(Stoff!$P68*$D68)*EXP(-'1a. Spredningsmodell input'!$B$43*BF68)</f>
        <v>#VALUE!</v>
      </c>
      <c r="BI68" s="290" t="e">
        <f>($D68-Stoff!$P68*$D68-BG68)*($F68/($F68+Stoff!$L68*365))</f>
        <v>#VALUE!</v>
      </c>
      <c r="BJ68" s="290" t="e">
        <f>(Stoff!$P68*$D68)-BH68</f>
        <v>#VALUE!</v>
      </c>
      <c r="BK68" s="290" t="e">
        <f>($O68+BI68)*EXP(-($N68+Stoff!$M68*365)*BF68)</f>
        <v>#VALUE!</v>
      </c>
      <c r="BL68" s="290" t="e">
        <f>(Stoff!$P68*$O68+BJ68)*EXP(-('1a. Spredningsmodell input'!$B$46)*BF68)</f>
        <v>#VALUE!</v>
      </c>
      <c r="BM68" s="292" t="e">
        <f>((BK68+BL68)*1000000000)/('1a. Spredningsmodell input'!$B$45*1000)</f>
        <v>#VALUE!</v>
      </c>
      <c r="BN68" s="294" t="e">
        <f>0.001*BM68/('1a. Spredningsmodell input'!$C$25+'1a. Spredningsmodell input'!$C$26/Mellomregninger!$K68)</f>
        <v>#VALUE!</v>
      </c>
      <c r="BO68" s="294" t="e">
        <f>1000*BN68/$K68+BL68*1000000000/('1a. Spredningsmodell input'!$B$45*1000)</f>
        <v>#VALUE!</v>
      </c>
      <c r="BP68" s="294" t="e">
        <f t="shared" ref="BP68:BP114" si="40">1000*BN68/$K68</f>
        <v>#VALUE!</v>
      </c>
      <c r="BQ68" s="294" t="e">
        <f>BL68*1000000000/('1a. Spredningsmodell input'!$B$45*1000)</f>
        <v>#VALUE!</v>
      </c>
      <c r="BR68" s="295">
        <f t="shared" ref="BR68:BR99" si="41">BR67</f>
        <v>100</v>
      </c>
      <c r="BS68" s="290" t="e">
        <f>($D68-Stoff!$P68*$D68)*EXP(-($F68+Stoff!$L68*365)*BR68)</f>
        <v>#VALUE!</v>
      </c>
      <c r="BT68" s="291" t="e">
        <f>(Stoff!$P68*$D68)*EXP(-'1a. Spredningsmodell input'!$B$43*BR68)</f>
        <v>#VALUE!</v>
      </c>
      <c r="BU68" s="290" t="e">
        <f>($D68-Stoff!$P68*$D68-BS68)*($F68/($F68+Stoff!$L68*365))</f>
        <v>#VALUE!</v>
      </c>
      <c r="BV68" s="290" t="e">
        <f>(Stoff!$P68*$D68)-BT68</f>
        <v>#VALUE!</v>
      </c>
      <c r="BW68" s="290" t="e">
        <f>($O68+BU68)*EXP(-($N68+Stoff!$M68*365)*BR68)</f>
        <v>#VALUE!</v>
      </c>
      <c r="BX68" s="290" t="e">
        <f>(Stoff!$P68*$O68+BV68)*EXP(-('1a. Spredningsmodell input'!$B$46)*BR68)</f>
        <v>#VALUE!</v>
      </c>
      <c r="BY68" s="292" t="e">
        <f>((BW68+BX68)*1000000000)/('1a. Spredningsmodell input'!$B$45*1000)</f>
        <v>#VALUE!</v>
      </c>
      <c r="BZ68" s="294" t="e">
        <f>0.001*BY68/('1a. Spredningsmodell input'!$C$25+'1a. Spredningsmodell input'!$C$26/Mellomregninger!$K68)</f>
        <v>#VALUE!</v>
      </c>
      <c r="CA68" s="294" t="e">
        <f>1000*BZ68/$K68+BX68*1000000000/('1a. Spredningsmodell input'!$B$45*1000)</f>
        <v>#VALUE!</v>
      </c>
      <c r="CB68" s="294" t="e">
        <f t="shared" ref="CB68:CB114" si="42">1000*BZ68/$K68</f>
        <v>#VALUE!</v>
      </c>
      <c r="CC68" s="294" t="e">
        <f>BX68*1000000000/('1a. Spredningsmodell input'!$B$45*1000)</f>
        <v>#VALUE!</v>
      </c>
      <c r="CD68" s="294" t="e">
        <f>V68+'1a. Spredningsmodell input'!$C$35</f>
        <v>#VALUE!</v>
      </c>
      <c r="CE68" s="294" t="e">
        <f>($S68+$Q68*($O68+$I68*($D68*(1-Stoff!$P68))*(1-EXP(-($F68+Stoff!$L68*365)*CD68)))*(1-EXP(-($N68+Stoff!$M68*365)*CD68)))</f>
        <v>#VALUE!</v>
      </c>
      <c r="CF68" s="294" t="e">
        <f t="shared" ref="CF68:CF114" si="43">AF68</f>
        <v>#VALUE!</v>
      </c>
      <c r="CG68" s="296" t="e">
        <f>(CF68/1000000)*'1a. Spredningsmodell input'!$B$49*'1a. Spredningsmodell input'!$C$35</f>
        <v>#VALUE!</v>
      </c>
      <c r="CH68" s="294" t="e">
        <f t="shared" ref="CH68:CH114" si="44">AG68</f>
        <v>#VALUE!</v>
      </c>
      <c r="CI68" s="290" t="e">
        <f>(CH68/1000000)*'1a. Spredningsmodell input'!$B$49*'1a. Spredningsmodell input'!$C$35</f>
        <v>#VALUE!</v>
      </c>
      <c r="CJ68" s="297" t="e">
        <f>($S68)*EXP(-(Stoff!$N68*365+$U68)*CD68)+CG68</f>
        <v>#VALUE!</v>
      </c>
      <c r="CK68" s="297" t="e">
        <f>(Stoff!$P68*$S68+CI68)*EXP(-$T68*CD68)</f>
        <v>#VALUE!</v>
      </c>
      <c r="CL68" s="297" t="e">
        <f>(CJ68+CK68)*1000000000/('1a. Spredningsmodell input'!$C$36*1000)</f>
        <v>#VALUE!</v>
      </c>
      <c r="CM68" s="297" t="e">
        <f>$G68*(1-EXP(-'1a. Spredningsmodell input'!$B$43*Mellomregninger!CD68))*(1-EXP(-'1a. Spredningsmodell input'!$B$46*Mellomregninger!CD68))</f>
        <v>#VALUE!</v>
      </c>
      <c r="CN68" s="297"/>
      <c r="CO68" s="297"/>
      <c r="CP68" s="290">
        <f>IF(ISNUMBER(AH68),AH68+'1a. Spredningsmodell input'!$C$35,'1a. Spredningsmodell input'!$C$35)</f>
        <v>1</v>
      </c>
      <c r="CQ68" s="294" t="e">
        <f>($S68+$Q68*($O68+$I68*($D68*(1-Stoff!$P68))*(1-EXP(-($F68+Stoff!$L68*365)*CP68)))*(1-EXP(-($N68+Stoff!$M68*365)*CP68)))</f>
        <v>#VALUE!</v>
      </c>
      <c r="CR68" s="294" t="e">
        <f t="shared" ref="CR68:CR114" si="45">AR68</f>
        <v>#VALUE!</v>
      </c>
      <c r="CS68" s="296" t="e">
        <f>(CR68/1000000)*('1a. Spredningsmodell input'!$B$49*'1a. Spredningsmodell input'!$C$35)</f>
        <v>#VALUE!</v>
      </c>
      <c r="CT68" s="294" t="e">
        <f t="shared" ref="CT68:CT114" si="46">AS68</f>
        <v>#VALUE!</v>
      </c>
      <c r="CU68" s="290" t="e">
        <f>(CT68/1000000)*('1a. Spredningsmodell input'!$B$49)*'1a. Spredningsmodell input'!$C$35</f>
        <v>#VALUE!</v>
      </c>
      <c r="CV68" s="297" t="e">
        <f>($S68)*EXP(-(Stoff!$N68*365+$U68)*CP68)+CS68</f>
        <v>#VALUE!</v>
      </c>
      <c r="CW68" s="297" t="e">
        <f>(Stoff!$P68*$S68+CU68)*EXP(-$T68*CP68)</f>
        <v>#VALUE!</v>
      </c>
      <c r="CX68" s="297">
        <f>IF(ISERROR(CV68),0,(CV68+CW68)*1000000000/('1a. Spredningsmodell input'!$C$36*1000))</f>
        <v>0</v>
      </c>
      <c r="CY68" s="297" t="e">
        <f>$G68*(1-EXP(-'1a. Spredningsmodell input'!$B$43*Mellomregninger!CP68))*(1-EXP(-'1a. Spredningsmodell input'!$B$46*Mellomregninger!CP68))</f>
        <v>#VALUE!</v>
      </c>
      <c r="CZ68" s="297"/>
      <c r="DA68" s="297"/>
      <c r="DB68" s="262">
        <f t="shared" ref="DB68:DB99" si="47">DB67</f>
        <v>5</v>
      </c>
      <c r="DC68" s="298" t="e">
        <f>($S68+$Q68*($O68+$I68*($D68*(1-Stoff!$P68))*(1-EXP(-($F68+Stoff!$L68*365)*DB68)))*(1-EXP(-($N68+Stoff!$M68*365)*DB68)))</f>
        <v>#VALUE!</v>
      </c>
      <c r="DD68" s="294" t="e">
        <f t="shared" ref="DD68:DD114" si="48">BD68</f>
        <v>#VALUE!</v>
      </c>
      <c r="DE68" s="296" t="e">
        <f>(DD68/1000000)*('1a. Spredningsmodell input'!$B$49)*'1a. Spredningsmodell input'!$C$35</f>
        <v>#VALUE!</v>
      </c>
      <c r="DF68" s="294" t="e">
        <f t="shared" ref="DF68:DF114" si="49">BE68</f>
        <v>#VALUE!</v>
      </c>
      <c r="DG68" s="290" t="e">
        <f>(DF68/1000000)*('1a. Spredningsmodell input'!$B$49)*'1a. Spredningsmodell input'!$C$35</f>
        <v>#VALUE!</v>
      </c>
      <c r="DH68" s="297" t="e">
        <f>($S68)*EXP(-(Stoff!$N68*365+$U68)*DB68)+DE68</f>
        <v>#VALUE!</v>
      </c>
      <c r="DI68" s="297" t="e">
        <f>(Stoff!$P68*$S68+DG68)*EXP(-$T68*DB68)</f>
        <v>#VALUE!</v>
      </c>
      <c r="DJ68" s="297" t="e">
        <f>(DH68+DI68)*1000000000/('1a. Spredningsmodell input'!$C$36*1000)</f>
        <v>#VALUE!</v>
      </c>
      <c r="DK68" s="297" t="e">
        <f>$G68*(1-EXP(-'1a. Spredningsmodell input'!$B$43*Mellomregninger!DB68))*(1-EXP(-'1a. Spredningsmodell input'!$B$46*Mellomregninger!DB68))</f>
        <v>#VALUE!</v>
      </c>
      <c r="DL68" s="297"/>
      <c r="DM68" s="297"/>
      <c r="DN68" s="262">
        <f t="shared" ref="DN68:DN99" si="50">DN67</f>
        <v>20</v>
      </c>
      <c r="DO68" s="298" t="e">
        <f>($S68+$Q68*($O68+$I68*($D68*(1-Stoff!$P68))*(1-EXP(-($F68+Stoff!$L68*365)*DN68)))*(1-EXP(-($N68+Stoff!$M68*365)*DN68)))</f>
        <v>#VALUE!</v>
      </c>
      <c r="DP68" s="294" t="e">
        <f t="shared" ref="DP68:DP114" si="51">BP68</f>
        <v>#VALUE!</v>
      </c>
      <c r="DQ68" s="296" t="e">
        <f>(DP68/1000000)*('1a. Spredningsmodell input'!$B$49)*'1a. Spredningsmodell input'!$C$35</f>
        <v>#VALUE!</v>
      </c>
      <c r="DR68" s="294" t="e">
        <f t="shared" ref="DR68:DR114" si="52">BQ68</f>
        <v>#VALUE!</v>
      </c>
      <c r="DS68" s="290" t="e">
        <f>(DR68/1000000)*('1a. Spredningsmodell input'!$B$49)*'1a. Spredningsmodell input'!$C$35</f>
        <v>#VALUE!</v>
      </c>
      <c r="DT68" s="297" t="e">
        <f>($S68)*EXP(-(Stoff!$N68*365+$U68)*DN68)+DQ68</f>
        <v>#VALUE!</v>
      </c>
      <c r="DU68" s="297" t="e">
        <f>(Stoff!$P68*$S68+DS68)*EXP(-$T68*DN68)</f>
        <v>#VALUE!</v>
      </c>
      <c r="DV68" s="297" t="e">
        <f>(DT68+DU68)*1000000000/('1a. Spredningsmodell input'!$C$36*1000)</f>
        <v>#VALUE!</v>
      </c>
      <c r="DW68" s="297" t="e">
        <f>$G68*(1-EXP(-'1a. Spredningsmodell input'!$B$43*Mellomregninger!DN68))*(1-EXP(-'1a. Spredningsmodell input'!$B$46*Mellomregninger!DN68))</f>
        <v>#VALUE!</v>
      </c>
      <c r="DX68" s="297"/>
      <c r="DY68" s="297"/>
      <c r="DZ68" s="262">
        <f t="shared" ref="DZ68:DZ99" si="53">DZ67</f>
        <v>100</v>
      </c>
      <c r="EA68" s="298" t="e">
        <f>($S68+$Q68*($O68+$I68*($D68*(1-Stoff!$P68))*(1-EXP(-($F68+Stoff!$L68*365)*DZ68)))*(1-EXP(-($N68+Stoff!$M68*365)*DZ68)))</f>
        <v>#VALUE!</v>
      </c>
      <c r="EB68" s="294" t="e">
        <f t="shared" ref="EB68:EB114" si="54">CB68</f>
        <v>#VALUE!</v>
      </c>
      <c r="EC68" s="296" t="e">
        <f>(EB68/1000000)*('1a. Spredningsmodell input'!$B$49)*'1a. Spredningsmodell input'!$C$35</f>
        <v>#VALUE!</v>
      </c>
      <c r="ED68" s="294" t="e">
        <f t="shared" ref="ED68:ED114" si="55">CC68</f>
        <v>#VALUE!</v>
      </c>
      <c r="EE68" s="290" t="e">
        <f>(ED68/1000000)*('1a. Spredningsmodell input'!$B$49)*'1a. Spredningsmodell input'!$C$35</f>
        <v>#VALUE!</v>
      </c>
      <c r="EF68" s="297" t="e">
        <f>($S68)*EXP(-(Stoff!$N68*365+$U68)*DZ68)+EC68</f>
        <v>#VALUE!</v>
      </c>
      <c r="EG68" s="297" t="e">
        <f>(Stoff!$P68*$S68+EE68)*EXP(-$T68*DZ68)</f>
        <v>#VALUE!</v>
      </c>
      <c r="EH68" s="297" t="e">
        <f>(EF68+EG68)*1000000000/('1a. Spredningsmodell input'!$C$36*1000)</f>
        <v>#VALUE!</v>
      </c>
      <c r="EI68" s="297" t="e">
        <f>$G68*(1-EXP(-'1a. Spredningsmodell input'!$B$43*Mellomregninger!DZ68))*(1-EXP(-'1a. Spredningsmodell input'!$B$46*Mellomregninger!DZ68))</f>
        <v>#VALUE!</v>
      </c>
      <c r="EJ68" s="297"/>
      <c r="EK68" s="297"/>
      <c r="EL68" s="262">
        <f t="shared" ref="EL68:EL99" si="56">EL67</f>
        <v>1.0000000000000001E+25</v>
      </c>
      <c r="EM68" s="294" t="e">
        <f>($S68+$Q68*($O68+$I68*($D68*(1-Stoff!$P68))*(1-EXP(-($F68+Stoff!$L68*365)*EL68)))*(1-EXP(-($N68+Stoff!$M68*365)*EL68)))</f>
        <v>#VALUE!</v>
      </c>
      <c r="EN68" s="296" t="e">
        <f>($S68+$Q68*($O68+$I68*($D68*(1-Stoff!$P68))*(1-EXP(-($F68+Stoff!$L68*365)*(EL68-'1a. Spredningsmodell input'!$C$35))))*(1-EXP(-($N68+Stoff!$M68*365)*(EL68-'1a. Spredningsmodell input'!$C$35))))</f>
        <v>#VALUE!</v>
      </c>
      <c r="EO68" s="294" t="e">
        <f>IF(EL68&lt;'1a. Spredningsmodell input'!$C$35,EM68-($S68)*EXP(-(Stoff!$N68*365+$U68)*EL68),EM68-EN68)</f>
        <v>#VALUE!</v>
      </c>
      <c r="EP68" s="290" t="e">
        <f>((($D68*(Stoff!$P68))*(1-EXP(-'1a. Spredningsmodell input'!$B$43*EL68)))*(1-EXP(-'1a. Spredningsmodell input'!$B$46*EL68)))</f>
        <v>#VALUE!</v>
      </c>
      <c r="EQ68" s="294" t="e">
        <f>((($D68*(Stoff!$P68))*(1-EXP(-'1a. Spredningsmodell input'!$B$43*(EL68-'1a. Spredningsmodell input'!$C$35))))*(1-EXP(-'1a. Spredningsmodell input'!$B$46*(EL68-'1a. Spredningsmodell input'!$C$35))))</f>
        <v>#VALUE!</v>
      </c>
      <c r="ER68" s="290" t="e">
        <f>IF(EL68&lt;'1a. Spredningsmodell input'!$C$35,0,EP68-EQ68)</f>
        <v>#VALUE!</v>
      </c>
      <c r="ES68" s="297" t="e">
        <f>($S68)*EXP(-(Stoff!$N68*365+$U68)*EL68)+EO68</f>
        <v>#VALUE!</v>
      </c>
      <c r="ET68" s="297" t="e">
        <f>(Stoff!$P68*$S68+ER68)*EXP(-$T68*EL68)</f>
        <v>#VALUE!</v>
      </c>
      <c r="EU68" s="297" t="e">
        <f>(ES68+ET68)*1000000000/('1a. Spredningsmodell input'!$C$36*1000)</f>
        <v>#VALUE!</v>
      </c>
      <c r="EV68" s="262" t="e">
        <f t="shared" ref="EV68:EV99" si="57">MAXA(CL68,CX68)</f>
        <v>#VALUE!</v>
      </c>
      <c r="EW68" s="299" t="e">
        <f t="shared" ref="EW68:EW99" si="58">IF(CL68=EV68,CD68,CP68)</f>
        <v>#VALUE!</v>
      </c>
      <c r="EX68" s="262" t="e">
        <f t="shared" si="34"/>
        <v>#VALUE!</v>
      </c>
    </row>
    <row r="69" spans="1:154" x14ac:dyDescent="0.35">
      <c r="A69" s="50" t="s">
        <v>141</v>
      </c>
      <c r="B69" s="34" t="str">
        <f>IF(ISNUMBER('1c. Kons. porevann'!E69),1000*'1c. Kons. porevann'!E69,IF(ISNUMBER('1b. Kons. umettet jord'!E69),1000*'1b. Kons. umettet jord'!E69/C69,""))</f>
        <v/>
      </c>
      <c r="C69" s="244">
        <f>IF(Stoff!B69="uorganisk",Stoff!C69,Stoff!D69*'1a. Spredningsmodell input'!$C$11)</f>
        <v>5658.6</v>
      </c>
      <c r="D69" s="34" t="str">
        <f>IF(ISNUMBER(B69),0.000001*('1b. Kons. umettet jord'!G69*'1a. Spredningsmodell input'!$C$12+B69*0.001*'1a. Spredningsmodell input'!$C$14)*1000*'1a. Spredningsmodell input'!$B$41*'1a. Spredningsmodell input'!$C$18,"")</f>
        <v/>
      </c>
      <c r="E69" s="283">
        <f>C69*'1a. Spredningsmodell input'!$C$12/'1a. Spredningsmodell input'!$C$14+1</f>
        <v>48099.1</v>
      </c>
      <c r="F69" s="284">
        <f>'1a. Spredningsmodell input'!$B$43/E69</f>
        <v>3.1185614699651342E-5</v>
      </c>
      <c r="G69" s="34" t="e">
        <f>Stoff!P69*Mellomregninger!D69</f>
        <v>#VALUE!</v>
      </c>
      <c r="H69" s="283" t="e">
        <f>(D69-G69)*(F69/(F69+Stoff!L69))</f>
        <v>#VALUE!</v>
      </c>
      <c r="I69" s="283">
        <f>F69/(F69+Stoff!L69)</f>
        <v>1</v>
      </c>
      <c r="J69" s="285" t="str">
        <f>IF(B69="","",IF(ISNUMBER('1d. Kons. mettet sone'!E69),'1d. Kons. mettet sone'!E69,IF(ISNUMBER('1e. Kons. grunnvann'!E69),'1e. Kons. grunnvann'!E69*Mellomregninger!K69,0)))</f>
        <v/>
      </c>
      <c r="K69" s="286">
        <f>IF(Stoff!B69="uorganisk",Stoff!C69,Stoff!D69*'1a. Spredningsmodell input'!$C$24)</f>
        <v>565.86</v>
      </c>
      <c r="L69" s="27" t="e">
        <f>IF(ISNUMBER('1e. Kons. grunnvann'!E69),1000*'1e. Kons. grunnvann'!E69,1000*J69/K69)</f>
        <v>#VALUE!</v>
      </c>
      <c r="M69" s="34">
        <f>K69*'1a. Spredningsmodell input'!$C$25/'1a. Spredningsmodell input'!$C$26+1</f>
        <v>2405.9049999999997</v>
      </c>
      <c r="N69" s="284">
        <f>'1a. Spredningsmodell input'!$C$26/M69</f>
        <v>1.6625760368759368E-4</v>
      </c>
      <c r="O69" s="287" t="e">
        <f>0.000000001*(J69*'1a. Spredningsmodell input'!$C$25+L69)*1000*'1a. Spredningsmodell input'!$B$45</f>
        <v>#VALUE!</v>
      </c>
      <c r="P69" s="287" t="e">
        <f>O69*Stoff!P69</f>
        <v>#VALUE!</v>
      </c>
      <c r="Q69" s="287">
        <f>N69/(N69+Stoff!M69)</f>
        <v>1</v>
      </c>
      <c r="R69" s="288">
        <f>IF(ISNUMBER('1f. Kons. resipient'!E69),'1f. Kons. resipient'!E69,0)</f>
        <v>0</v>
      </c>
      <c r="S69" s="288">
        <f>0.000000001*'1a. Spredningsmodell input'!$C$36*R69*1000</f>
        <v>0</v>
      </c>
      <c r="T69" s="288">
        <f>1/'1a. Spredningsmodell input'!$C$35</f>
        <v>1</v>
      </c>
      <c r="U69" s="288">
        <f>1/'1a. Spredningsmodell input'!$C$35</f>
        <v>1</v>
      </c>
      <c r="V69" s="300" t="e">
        <f>(1/($N69+Stoff!$L69))*(LN(($D69*$I69/($D69*$I69+$J69))*($F69+Stoff!$L69+$N69+Stoff!$M69)/($N69+Stoff!$M69)))</f>
        <v>#VALUE!</v>
      </c>
      <c r="W69" s="290" t="e">
        <f>($D69-Stoff!$P69*$D69)*EXP(-($F69+Stoff!$L69*365)*V69)</f>
        <v>#VALUE!</v>
      </c>
      <c r="X69" s="291" t="e">
        <f>(Stoff!$P69*$D69)*EXP(-'1a. Spredningsmodell input'!$B$43*V69)</f>
        <v>#VALUE!</v>
      </c>
      <c r="Y69" s="290" t="e">
        <f>($D69-Stoff!$P69*$D69-W69)*($F69/($F69+Stoff!$L69*365))</f>
        <v>#VALUE!</v>
      </c>
      <c r="Z69" s="290" t="e">
        <f>(Stoff!$P69*$D69)-X69</f>
        <v>#VALUE!</v>
      </c>
      <c r="AA69" s="290" t="e">
        <f>($O69+Y69)*EXP(-($N69+Stoff!$M69*365)*V69)</f>
        <v>#VALUE!</v>
      </c>
      <c r="AB69" s="290" t="e">
        <f>(Stoff!$P69*$O69+Z69)*EXP(-('1a. Spredningsmodell input'!$B$46)*V69)</f>
        <v>#VALUE!</v>
      </c>
      <c r="AC69" s="292" t="e">
        <f>((AA69+AB69)*1000000000)/('1a. Spredningsmodell input'!$B$45*1000)</f>
        <v>#VALUE!</v>
      </c>
      <c r="AD69" s="294" t="e">
        <f>0.001*AC69/('1a. Spredningsmodell input'!$C$25+'1a. Spredningsmodell input'!$C$26/Mellomregninger!$K69)</f>
        <v>#VALUE!</v>
      </c>
      <c r="AE69" s="294" t="e">
        <f>1000*AD69/$K69+AB69*1000000000/('1a. Spredningsmodell input'!$B$45*1000)</f>
        <v>#VALUE!</v>
      </c>
      <c r="AF69" s="294" t="e">
        <f t="shared" si="35"/>
        <v>#VALUE!</v>
      </c>
      <c r="AG69" s="294" t="e">
        <f>AB69*1000000000/('1a. Spredningsmodell input'!$B$45*1000)</f>
        <v>#VALUE!</v>
      </c>
      <c r="AH69" s="300" t="e">
        <f>(1/('1a. Spredningsmodell input'!$B$46))*(LN(($D69*Stoff!$P69/($D69*Stoff!$P69+$P69*Stoff!$P69))*('1a. Spredningsmodell input'!$B$43+'1a. Spredningsmodell input'!$B$46)/('1a. Spredningsmodell input'!$B$46)))</f>
        <v>#VALUE!</v>
      </c>
      <c r="AI69" s="290" t="e">
        <f>($D69-Stoff!$P69*$D69)*EXP(-($F69+Stoff!$L69*365)*AH69)</f>
        <v>#VALUE!</v>
      </c>
      <c r="AJ69" s="291" t="e">
        <f>(Stoff!$P69*$D69)*EXP(-'1a. Spredningsmodell input'!$B$43*AH69)</f>
        <v>#VALUE!</v>
      </c>
      <c r="AK69" s="290" t="e">
        <f>($D69-Stoff!$P69*$D69-AI69)*($F69/($F69+Stoff!$L69*365))</f>
        <v>#VALUE!</v>
      </c>
      <c r="AL69" s="290" t="e">
        <f>(Stoff!$P69*$D69)-AJ69</f>
        <v>#VALUE!</v>
      </c>
      <c r="AM69" s="290" t="e">
        <f>($O69+AK69)*EXP(-($N69+Stoff!$M69*365)*AH69)</f>
        <v>#VALUE!</v>
      </c>
      <c r="AN69" s="290" t="e">
        <f>(Stoff!$P69*$O69+AL69)*EXP(-('1a. Spredningsmodell input'!$B$46)*AH69)</f>
        <v>#VALUE!</v>
      </c>
      <c r="AO69" s="292" t="e">
        <f>((AM69+AN69)*1000000000)/('1a. Spredningsmodell input'!$B$45*1000)</f>
        <v>#VALUE!</v>
      </c>
      <c r="AP69" s="294" t="e">
        <f>0.001*AO69/('1a. Spredningsmodell input'!$C$25+'1a. Spredningsmodell input'!$C$26/Mellomregninger!$K69)</f>
        <v>#VALUE!</v>
      </c>
      <c r="AQ69" s="294" t="e">
        <f>1000*AP69/$K69+AN69*1000000000/('1a. Spredningsmodell input'!$B$45*1000)</f>
        <v>#VALUE!</v>
      </c>
      <c r="AR69" s="294" t="e">
        <f t="shared" si="36"/>
        <v>#VALUE!</v>
      </c>
      <c r="AS69" s="294" t="e">
        <f>AN69*1000000000/('1a. Spredningsmodell input'!$B$45*1000)</f>
        <v>#VALUE!</v>
      </c>
      <c r="AT69" s="295">
        <f t="shared" si="37"/>
        <v>5</v>
      </c>
      <c r="AU69" s="290" t="e">
        <f>($D69-Stoff!$P69*$D69)*EXP(-($F69+Stoff!$L69*365)*AT69)</f>
        <v>#VALUE!</v>
      </c>
      <c r="AV69" s="291" t="e">
        <f>(Stoff!$P69*$D69)*EXP(-'1a. Spredningsmodell input'!$B$43*AT69)</f>
        <v>#VALUE!</v>
      </c>
      <c r="AW69" s="290" t="e">
        <f>($D69-Stoff!$P69*$D69-AU69)*($F69/($F69+Stoff!$L69*365))</f>
        <v>#VALUE!</v>
      </c>
      <c r="AX69" s="290" t="e">
        <f>(Stoff!$P69*$D69)-AV69</f>
        <v>#VALUE!</v>
      </c>
      <c r="AY69" s="290" t="e">
        <f>($O69+AW69)*EXP(-($N69+Stoff!$M69*365)*AT69)</f>
        <v>#VALUE!</v>
      </c>
      <c r="AZ69" s="290" t="e">
        <f>(Stoff!$P69*$O69+AX69)*EXP(-('1a. Spredningsmodell input'!$B$46)*AT69)</f>
        <v>#VALUE!</v>
      </c>
      <c r="BA69" s="292" t="e">
        <f>((AY69+AZ69)*1000000000)/('1a. Spredningsmodell input'!$B$45*1000)</f>
        <v>#VALUE!</v>
      </c>
      <c r="BB69" s="294" t="e">
        <f>0.001*BA69/('1a. Spredningsmodell input'!$C$25+'1a. Spredningsmodell input'!$C$26/Mellomregninger!$K69)</f>
        <v>#VALUE!</v>
      </c>
      <c r="BC69" s="294" t="e">
        <f>1000*BB69/$K69+AZ69*1000000000/('1a. Spredningsmodell input'!$B$45*1000)</f>
        <v>#VALUE!</v>
      </c>
      <c r="BD69" s="294" t="e">
        <f t="shared" si="38"/>
        <v>#VALUE!</v>
      </c>
      <c r="BE69" s="294" t="e">
        <f>AZ69*1000000000/('1a. Spredningsmodell input'!$B$45*1000)</f>
        <v>#VALUE!</v>
      </c>
      <c r="BF69" s="295">
        <f t="shared" si="39"/>
        <v>20</v>
      </c>
      <c r="BG69" s="290" t="e">
        <f>($D69-Stoff!$P69*$D69)*EXP(-($F69+Stoff!$L69*365)*BF69)</f>
        <v>#VALUE!</v>
      </c>
      <c r="BH69" s="291" t="e">
        <f>(Stoff!$P69*$D69)*EXP(-'1a. Spredningsmodell input'!$B$43*BF69)</f>
        <v>#VALUE!</v>
      </c>
      <c r="BI69" s="290" t="e">
        <f>($D69-Stoff!$P69*$D69-BG69)*($F69/($F69+Stoff!$L69*365))</f>
        <v>#VALUE!</v>
      </c>
      <c r="BJ69" s="290" t="e">
        <f>(Stoff!$P69*$D69)-BH69</f>
        <v>#VALUE!</v>
      </c>
      <c r="BK69" s="290" t="e">
        <f>($O69+BI69)*EXP(-($N69+Stoff!$M69*365)*BF69)</f>
        <v>#VALUE!</v>
      </c>
      <c r="BL69" s="290" t="e">
        <f>(Stoff!$P69*$O69+BJ69)*EXP(-('1a. Spredningsmodell input'!$B$46)*BF69)</f>
        <v>#VALUE!</v>
      </c>
      <c r="BM69" s="292" t="e">
        <f>((BK69+BL69)*1000000000)/('1a. Spredningsmodell input'!$B$45*1000)</f>
        <v>#VALUE!</v>
      </c>
      <c r="BN69" s="294" t="e">
        <f>0.001*BM69/('1a. Spredningsmodell input'!$C$25+'1a. Spredningsmodell input'!$C$26/Mellomregninger!$K69)</f>
        <v>#VALUE!</v>
      </c>
      <c r="BO69" s="294" t="e">
        <f>1000*BN69/$K69+BL69*1000000000/('1a. Spredningsmodell input'!$B$45*1000)</f>
        <v>#VALUE!</v>
      </c>
      <c r="BP69" s="294" t="e">
        <f t="shared" si="40"/>
        <v>#VALUE!</v>
      </c>
      <c r="BQ69" s="294" t="e">
        <f>BL69*1000000000/('1a. Spredningsmodell input'!$B$45*1000)</f>
        <v>#VALUE!</v>
      </c>
      <c r="BR69" s="295">
        <f t="shared" si="41"/>
        <v>100</v>
      </c>
      <c r="BS69" s="290" t="e">
        <f>($D69-Stoff!$P69*$D69)*EXP(-($F69+Stoff!$L69*365)*BR69)</f>
        <v>#VALUE!</v>
      </c>
      <c r="BT69" s="291" t="e">
        <f>(Stoff!$P69*$D69)*EXP(-'1a. Spredningsmodell input'!$B$43*BR69)</f>
        <v>#VALUE!</v>
      </c>
      <c r="BU69" s="290" t="e">
        <f>($D69-Stoff!$P69*$D69-BS69)*($F69/($F69+Stoff!$L69*365))</f>
        <v>#VALUE!</v>
      </c>
      <c r="BV69" s="290" t="e">
        <f>(Stoff!$P69*$D69)-BT69</f>
        <v>#VALUE!</v>
      </c>
      <c r="BW69" s="290" t="e">
        <f>($O69+BU69)*EXP(-($N69+Stoff!$M69*365)*BR69)</f>
        <v>#VALUE!</v>
      </c>
      <c r="BX69" s="290" t="e">
        <f>(Stoff!$P69*$O69+BV69)*EXP(-('1a. Spredningsmodell input'!$B$46)*BR69)</f>
        <v>#VALUE!</v>
      </c>
      <c r="BY69" s="292" t="e">
        <f>((BW69+BX69)*1000000000)/('1a. Spredningsmodell input'!$B$45*1000)</f>
        <v>#VALUE!</v>
      </c>
      <c r="BZ69" s="294" t="e">
        <f>0.001*BY69/('1a. Spredningsmodell input'!$C$25+'1a. Spredningsmodell input'!$C$26/Mellomregninger!$K69)</f>
        <v>#VALUE!</v>
      </c>
      <c r="CA69" s="294" t="e">
        <f>1000*BZ69/$K69+BX69*1000000000/('1a. Spredningsmodell input'!$B$45*1000)</f>
        <v>#VALUE!</v>
      </c>
      <c r="CB69" s="294" t="e">
        <f t="shared" si="42"/>
        <v>#VALUE!</v>
      </c>
      <c r="CC69" s="294" t="e">
        <f>BX69*1000000000/('1a. Spredningsmodell input'!$B$45*1000)</f>
        <v>#VALUE!</v>
      </c>
      <c r="CD69" s="294" t="e">
        <f>V69+'1a. Spredningsmodell input'!$C$35</f>
        <v>#VALUE!</v>
      </c>
      <c r="CE69" s="294" t="e">
        <f>($S69+$Q69*($O69+$I69*($D69*(1-Stoff!$P69))*(1-EXP(-($F69+Stoff!$L69*365)*CD69)))*(1-EXP(-($N69+Stoff!$M69*365)*CD69)))</f>
        <v>#VALUE!</v>
      </c>
      <c r="CF69" s="294" t="e">
        <f t="shared" si="43"/>
        <v>#VALUE!</v>
      </c>
      <c r="CG69" s="296" t="e">
        <f>(CF69/1000000)*'1a. Spredningsmodell input'!$B$49*'1a. Spredningsmodell input'!$C$35</f>
        <v>#VALUE!</v>
      </c>
      <c r="CH69" s="294" t="e">
        <f t="shared" si="44"/>
        <v>#VALUE!</v>
      </c>
      <c r="CI69" s="290" t="e">
        <f>(CH69/1000000)*'1a. Spredningsmodell input'!$B$49*'1a. Spredningsmodell input'!$C$35</f>
        <v>#VALUE!</v>
      </c>
      <c r="CJ69" s="297" t="e">
        <f>($S69)*EXP(-(Stoff!$N69*365+$U69)*CD69)+CG69</f>
        <v>#VALUE!</v>
      </c>
      <c r="CK69" s="297" t="e">
        <f>(Stoff!$P69*$S69+CI69)*EXP(-$T69*CD69)</f>
        <v>#VALUE!</v>
      </c>
      <c r="CL69" s="297" t="e">
        <f>(CJ69+CK69)*1000000000/('1a. Spredningsmodell input'!$C$36*1000)</f>
        <v>#VALUE!</v>
      </c>
      <c r="CM69" s="297" t="e">
        <f>$G69*(1-EXP(-'1a. Spredningsmodell input'!$B$43*Mellomregninger!CD69))*(1-EXP(-'1a. Spredningsmodell input'!$B$46*Mellomregninger!CD69))</f>
        <v>#VALUE!</v>
      </c>
      <c r="CN69" s="297"/>
      <c r="CO69" s="297"/>
      <c r="CP69" s="290">
        <f>IF(ISNUMBER(AH69),AH69+'1a. Spredningsmodell input'!$C$35,'1a. Spredningsmodell input'!$C$35)</f>
        <v>1</v>
      </c>
      <c r="CQ69" s="294" t="e">
        <f>($S69+$Q69*($O69+$I69*($D69*(1-Stoff!$P69))*(1-EXP(-($F69+Stoff!$L69*365)*CP69)))*(1-EXP(-($N69+Stoff!$M69*365)*CP69)))</f>
        <v>#VALUE!</v>
      </c>
      <c r="CR69" s="294" t="e">
        <f t="shared" si="45"/>
        <v>#VALUE!</v>
      </c>
      <c r="CS69" s="296" t="e">
        <f>(CR69/1000000)*('1a. Spredningsmodell input'!$B$49*'1a. Spredningsmodell input'!$C$35)</f>
        <v>#VALUE!</v>
      </c>
      <c r="CT69" s="294" t="e">
        <f t="shared" si="46"/>
        <v>#VALUE!</v>
      </c>
      <c r="CU69" s="290" t="e">
        <f>(CT69/1000000)*('1a. Spredningsmodell input'!$B$49)*'1a. Spredningsmodell input'!$C$35</f>
        <v>#VALUE!</v>
      </c>
      <c r="CV69" s="297" t="e">
        <f>($S69)*EXP(-(Stoff!$N69*365+$U69)*CP69)+CS69</f>
        <v>#VALUE!</v>
      </c>
      <c r="CW69" s="297" t="e">
        <f>(Stoff!$P69*$S69+CU69)*EXP(-$T69*CP69)</f>
        <v>#VALUE!</v>
      </c>
      <c r="CX69" s="297">
        <f>IF(ISERROR(CV69),0,(CV69+CW69)*1000000000/('1a. Spredningsmodell input'!$C$36*1000))</f>
        <v>0</v>
      </c>
      <c r="CY69" s="297" t="e">
        <f>$G69*(1-EXP(-'1a. Spredningsmodell input'!$B$43*Mellomregninger!CP69))*(1-EXP(-'1a. Spredningsmodell input'!$B$46*Mellomregninger!CP69))</f>
        <v>#VALUE!</v>
      </c>
      <c r="CZ69" s="297"/>
      <c r="DA69" s="297"/>
      <c r="DB69" s="262">
        <f t="shared" si="47"/>
        <v>5</v>
      </c>
      <c r="DC69" s="298" t="e">
        <f>($S69+$Q69*($O69+$I69*($D69*(1-Stoff!$P69))*(1-EXP(-($F69+Stoff!$L69*365)*DB69)))*(1-EXP(-($N69+Stoff!$M69*365)*DB69)))</f>
        <v>#VALUE!</v>
      </c>
      <c r="DD69" s="294" t="e">
        <f t="shared" si="48"/>
        <v>#VALUE!</v>
      </c>
      <c r="DE69" s="296" t="e">
        <f>(DD69/1000000)*('1a. Spredningsmodell input'!$B$49)*'1a. Spredningsmodell input'!$C$35</f>
        <v>#VALUE!</v>
      </c>
      <c r="DF69" s="294" t="e">
        <f t="shared" si="49"/>
        <v>#VALUE!</v>
      </c>
      <c r="DG69" s="290" t="e">
        <f>(DF69/1000000)*('1a. Spredningsmodell input'!$B$49)*'1a. Spredningsmodell input'!$C$35</f>
        <v>#VALUE!</v>
      </c>
      <c r="DH69" s="297" t="e">
        <f>($S69)*EXP(-(Stoff!$N69*365+$U69)*DB69)+DE69</f>
        <v>#VALUE!</v>
      </c>
      <c r="DI69" s="297" t="e">
        <f>(Stoff!$P69*$S69+DG69)*EXP(-$T69*DB69)</f>
        <v>#VALUE!</v>
      </c>
      <c r="DJ69" s="297" t="e">
        <f>(DH69+DI69)*1000000000/('1a. Spredningsmodell input'!$C$36*1000)</f>
        <v>#VALUE!</v>
      </c>
      <c r="DK69" s="297" t="e">
        <f>$G69*(1-EXP(-'1a. Spredningsmodell input'!$B$43*Mellomregninger!DB69))*(1-EXP(-'1a. Spredningsmodell input'!$B$46*Mellomregninger!DB69))</f>
        <v>#VALUE!</v>
      </c>
      <c r="DL69" s="297"/>
      <c r="DM69" s="297"/>
      <c r="DN69" s="262">
        <f t="shared" si="50"/>
        <v>20</v>
      </c>
      <c r="DO69" s="298" t="e">
        <f>($S69+$Q69*($O69+$I69*($D69*(1-Stoff!$P69))*(1-EXP(-($F69+Stoff!$L69*365)*DN69)))*(1-EXP(-($N69+Stoff!$M69*365)*DN69)))</f>
        <v>#VALUE!</v>
      </c>
      <c r="DP69" s="294" t="e">
        <f t="shared" si="51"/>
        <v>#VALUE!</v>
      </c>
      <c r="DQ69" s="296" t="e">
        <f>(DP69/1000000)*('1a. Spredningsmodell input'!$B$49)*'1a. Spredningsmodell input'!$C$35</f>
        <v>#VALUE!</v>
      </c>
      <c r="DR69" s="294" t="e">
        <f t="shared" si="52"/>
        <v>#VALUE!</v>
      </c>
      <c r="DS69" s="290" t="e">
        <f>(DR69/1000000)*('1a. Spredningsmodell input'!$B$49)*'1a. Spredningsmodell input'!$C$35</f>
        <v>#VALUE!</v>
      </c>
      <c r="DT69" s="297" t="e">
        <f>($S69)*EXP(-(Stoff!$N69*365+$U69)*DN69)+DQ69</f>
        <v>#VALUE!</v>
      </c>
      <c r="DU69" s="297" t="e">
        <f>(Stoff!$P69*$S69+DS69)*EXP(-$T69*DN69)</f>
        <v>#VALUE!</v>
      </c>
      <c r="DV69" s="297" t="e">
        <f>(DT69+DU69)*1000000000/('1a. Spredningsmodell input'!$C$36*1000)</f>
        <v>#VALUE!</v>
      </c>
      <c r="DW69" s="297" t="e">
        <f>$G69*(1-EXP(-'1a. Spredningsmodell input'!$B$43*Mellomregninger!DN69))*(1-EXP(-'1a. Spredningsmodell input'!$B$46*Mellomregninger!DN69))</f>
        <v>#VALUE!</v>
      </c>
      <c r="DX69" s="297"/>
      <c r="DY69" s="297"/>
      <c r="DZ69" s="262">
        <f t="shared" si="53"/>
        <v>100</v>
      </c>
      <c r="EA69" s="298" t="e">
        <f>($S69+$Q69*($O69+$I69*($D69*(1-Stoff!$P69))*(1-EXP(-($F69+Stoff!$L69*365)*DZ69)))*(1-EXP(-($N69+Stoff!$M69*365)*DZ69)))</f>
        <v>#VALUE!</v>
      </c>
      <c r="EB69" s="294" t="e">
        <f t="shared" si="54"/>
        <v>#VALUE!</v>
      </c>
      <c r="EC69" s="296" t="e">
        <f>(EB69/1000000)*('1a. Spredningsmodell input'!$B$49)*'1a. Spredningsmodell input'!$C$35</f>
        <v>#VALUE!</v>
      </c>
      <c r="ED69" s="294" t="e">
        <f t="shared" si="55"/>
        <v>#VALUE!</v>
      </c>
      <c r="EE69" s="290" t="e">
        <f>(ED69/1000000)*('1a. Spredningsmodell input'!$B$49)*'1a. Spredningsmodell input'!$C$35</f>
        <v>#VALUE!</v>
      </c>
      <c r="EF69" s="297" t="e">
        <f>($S69)*EXP(-(Stoff!$N69*365+$U69)*DZ69)+EC69</f>
        <v>#VALUE!</v>
      </c>
      <c r="EG69" s="297" t="e">
        <f>(Stoff!$P69*$S69+EE69)*EXP(-$T69*DZ69)</f>
        <v>#VALUE!</v>
      </c>
      <c r="EH69" s="297" t="e">
        <f>(EF69+EG69)*1000000000/('1a. Spredningsmodell input'!$C$36*1000)</f>
        <v>#VALUE!</v>
      </c>
      <c r="EI69" s="297" t="e">
        <f>$G69*(1-EXP(-'1a. Spredningsmodell input'!$B$43*Mellomregninger!DZ69))*(1-EXP(-'1a. Spredningsmodell input'!$B$46*Mellomregninger!DZ69))</f>
        <v>#VALUE!</v>
      </c>
      <c r="EJ69" s="297"/>
      <c r="EK69" s="297"/>
      <c r="EL69" s="262">
        <f t="shared" si="56"/>
        <v>1.0000000000000001E+25</v>
      </c>
      <c r="EM69" s="294" t="e">
        <f>($S69+$Q69*($O69+$I69*($D69*(1-Stoff!$P69))*(1-EXP(-($F69+Stoff!$L69*365)*EL69)))*(1-EXP(-($N69+Stoff!$M69*365)*EL69)))</f>
        <v>#VALUE!</v>
      </c>
      <c r="EN69" s="296" t="e">
        <f>($S69+$Q69*($O69+$I69*($D69*(1-Stoff!$P69))*(1-EXP(-($F69+Stoff!$L69*365)*(EL69-'1a. Spredningsmodell input'!$C$35))))*(1-EXP(-($N69+Stoff!$M69*365)*(EL69-'1a. Spredningsmodell input'!$C$35))))</f>
        <v>#VALUE!</v>
      </c>
      <c r="EO69" s="294" t="e">
        <f>IF(EL69&lt;'1a. Spredningsmodell input'!$C$35,EM69-($S69)*EXP(-(Stoff!$N69*365+$U69)*EL69),EM69-EN69)</f>
        <v>#VALUE!</v>
      </c>
      <c r="EP69" s="290" t="e">
        <f>((($D69*(Stoff!$P69))*(1-EXP(-'1a. Spredningsmodell input'!$B$43*EL69)))*(1-EXP(-'1a. Spredningsmodell input'!$B$46*EL69)))</f>
        <v>#VALUE!</v>
      </c>
      <c r="EQ69" s="294" t="e">
        <f>((($D69*(Stoff!$P69))*(1-EXP(-'1a. Spredningsmodell input'!$B$43*(EL69-'1a. Spredningsmodell input'!$C$35))))*(1-EXP(-'1a. Spredningsmodell input'!$B$46*(EL69-'1a. Spredningsmodell input'!$C$35))))</f>
        <v>#VALUE!</v>
      </c>
      <c r="ER69" s="290" t="e">
        <f>IF(EL69&lt;'1a. Spredningsmodell input'!$C$35,0,EP69-EQ69)</f>
        <v>#VALUE!</v>
      </c>
      <c r="ES69" s="297" t="e">
        <f>($S69)*EXP(-(Stoff!$N69*365+$U69)*EL69)+EO69</f>
        <v>#VALUE!</v>
      </c>
      <c r="ET69" s="297" t="e">
        <f>(Stoff!$P69*$S69+ER69)*EXP(-$T69*EL69)</f>
        <v>#VALUE!</v>
      </c>
      <c r="EU69" s="297" t="e">
        <f>(ES69+ET69)*1000000000/('1a. Spredningsmodell input'!$C$36*1000)</f>
        <v>#VALUE!</v>
      </c>
      <c r="EV69" s="262" t="e">
        <f t="shared" si="57"/>
        <v>#VALUE!</v>
      </c>
      <c r="EW69" s="299" t="e">
        <f t="shared" si="58"/>
        <v>#VALUE!</v>
      </c>
      <c r="EX69" s="262" t="e">
        <f t="shared" ref="EX69:EX100" si="59">IF(CL69=EV69,CE69+S69,CQ69+S69)</f>
        <v>#VALUE!</v>
      </c>
    </row>
    <row r="70" spans="1:154" x14ac:dyDescent="0.35">
      <c r="A70" s="50" t="s">
        <v>140</v>
      </c>
      <c r="B70" s="34" t="str">
        <f>IF(ISNUMBER('1c. Kons. porevann'!E70),1000*'1c. Kons. porevann'!E70,IF(ISNUMBER('1b. Kons. umettet jord'!E70),1000*'1b. Kons. umettet jord'!E70/C70,""))</f>
        <v/>
      </c>
      <c r="C70" s="244">
        <f>IF(Stoff!B70="uorganisk",Stoff!C70,Stoff!D70*'1a. Spredningsmodell input'!$C$11)</f>
        <v>5250000000</v>
      </c>
      <c r="D70" s="34" t="str">
        <f>IF(ISNUMBER(B70),0.000001*('1b. Kons. umettet jord'!G70*'1a. Spredningsmodell input'!$C$12+B70*0.001*'1a. Spredningsmodell input'!$C$14)*1000*'1a. Spredningsmodell input'!$B$41*'1a. Spredningsmodell input'!$C$18,"")</f>
        <v/>
      </c>
      <c r="E70" s="283">
        <f>C70*'1a. Spredningsmodell input'!$C$12/'1a. Spredningsmodell input'!$C$14+1</f>
        <v>44625000001</v>
      </c>
      <c r="F70" s="284">
        <f>'1a. Spredningsmodell input'!$B$43/E70</f>
        <v>3.3613445377398013E-11</v>
      </c>
      <c r="G70" s="34" t="e">
        <f>Stoff!P70*Mellomregninger!D70</f>
        <v>#VALUE!</v>
      </c>
      <c r="H70" s="283" t="e">
        <f>(D70-G70)*(F70/(F70+Stoff!L70))</f>
        <v>#VALUE!</v>
      </c>
      <c r="I70" s="283">
        <f>F70/(F70+Stoff!L70)</f>
        <v>1</v>
      </c>
      <c r="J70" s="285" t="str">
        <f>IF(B70="","",IF(ISNUMBER('1d. Kons. mettet sone'!E70),'1d. Kons. mettet sone'!E70,IF(ISNUMBER('1e. Kons. grunnvann'!E70),'1e. Kons. grunnvann'!E70*Mellomregninger!K70,0)))</f>
        <v/>
      </c>
      <c r="K70" s="286">
        <f>IF(Stoff!B70="uorganisk",Stoff!C70,Stoff!D70*'1a. Spredningsmodell input'!$C$24)</f>
        <v>525000000</v>
      </c>
      <c r="L70" s="27" t="e">
        <f>IF(ISNUMBER('1e. Kons. grunnvann'!E70),1000*'1e. Kons. grunnvann'!E70,1000*J70/K70)</f>
        <v>#VALUE!</v>
      </c>
      <c r="M70" s="34">
        <f>K70*'1a. Spredningsmodell input'!$C$25/'1a. Spredningsmodell input'!$C$26+1</f>
        <v>2231250001</v>
      </c>
      <c r="N70" s="284">
        <f>'1a. Spredningsmodell input'!$C$26/M70</f>
        <v>1.7927170860312755E-10</v>
      </c>
      <c r="O70" s="287" t="e">
        <f>0.000000001*(J70*'1a. Spredningsmodell input'!$C$25+L70)*1000*'1a. Spredningsmodell input'!$B$45</f>
        <v>#VALUE!</v>
      </c>
      <c r="P70" s="287" t="e">
        <f>O70*Stoff!P70</f>
        <v>#VALUE!</v>
      </c>
      <c r="Q70" s="287">
        <f>N70/(N70+Stoff!M70)</f>
        <v>1</v>
      </c>
      <c r="R70" s="288">
        <f>IF(ISNUMBER('1f. Kons. resipient'!E70),'1f. Kons. resipient'!E70,0)</f>
        <v>0</v>
      </c>
      <c r="S70" s="288">
        <f>0.000000001*'1a. Spredningsmodell input'!$C$36*R70*1000</f>
        <v>0</v>
      </c>
      <c r="T70" s="288">
        <f>1/'1a. Spredningsmodell input'!$C$35</f>
        <v>1</v>
      </c>
      <c r="U70" s="288">
        <f>1/'1a. Spredningsmodell input'!$C$35</f>
        <v>1</v>
      </c>
      <c r="V70" s="300" t="e">
        <f>(1/($N70+Stoff!$L70))*(LN(($D70*$I70/($D70*$I70+$J70))*($F70+Stoff!$L70+$N70+Stoff!$M70)/($N70+Stoff!$M70)))</f>
        <v>#VALUE!</v>
      </c>
      <c r="W70" s="290" t="e">
        <f>($D70-Stoff!$P70*$D70)*EXP(-($F70+Stoff!$L70*365)*V70)</f>
        <v>#VALUE!</v>
      </c>
      <c r="X70" s="291" t="e">
        <f>(Stoff!$P70*$D70)*EXP(-'1a. Spredningsmodell input'!$B$43*V70)</f>
        <v>#VALUE!</v>
      </c>
      <c r="Y70" s="290" t="e">
        <f>($D70-Stoff!$P70*$D70-W70)*($F70/($F70+Stoff!$L70*365))</f>
        <v>#VALUE!</v>
      </c>
      <c r="Z70" s="290" t="e">
        <f>(Stoff!$P70*$D70)-X70</f>
        <v>#VALUE!</v>
      </c>
      <c r="AA70" s="290" t="e">
        <f>($O70+Y70)*EXP(-($N70+Stoff!$M70*365)*V70)</f>
        <v>#VALUE!</v>
      </c>
      <c r="AB70" s="290" t="e">
        <f>(Stoff!$P70*$O70+Z70)*EXP(-('1a. Spredningsmodell input'!$B$46)*V70)</f>
        <v>#VALUE!</v>
      </c>
      <c r="AC70" s="292" t="e">
        <f>((AA70+AB70)*1000000000)/('1a. Spredningsmodell input'!$B$45*1000)</f>
        <v>#VALUE!</v>
      </c>
      <c r="AD70" s="294" t="e">
        <f>0.001*AC70/('1a. Spredningsmodell input'!$C$25+'1a. Spredningsmodell input'!$C$26/Mellomregninger!$K70)</f>
        <v>#VALUE!</v>
      </c>
      <c r="AE70" s="294" t="e">
        <f>1000*AD70/$K70+AB70*1000000000/('1a. Spredningsmodell input'!$B$45*1000)</f>
        <v>#VALUE!</v>
      </c>
      <c r="AF70" s="294" t="e">
        <f t="shared" si="35"/>
        <v>#VALUE!</v>
      </c>
      <c r="AG70" s="294" t="e">
        <f>AB70*1000000000/('1a. Spredningsmodell input'!$B$45*1000)</f>
        <v>#VALUE!</v>
      </c>
      <c r="AH70" s="300" t="e">
        <f>(1/('1a. Spredningsmodell input'!$B$46))*(LN(($D70*Stoff!$P70/($D70*Stoff!$P70+$P70*Stoff!$P70))*('1a. Spredningsmodell input'!$B$43+'1a. Spredningsmodell input'!$B$46)/('1a. Spredningsmodell input'!$B$46)))</f>
        <v>#VALUE!</v>
      </c>
      <c r="AI70" s="290" t="e">
        <f>($D70-Stoff!$P70*$D70)*EXP(-($F70+Stoff!$L70*365)*AH70)</f>
        <v>#VALUE!</v>
      </c>
      <c r="AJ70" s="291" t="e">
        <f>(Stoff!$P70*$D70)*EXP(-'1a. Spredningsmodell input'!$B$43*AH70)</f>
        <v>#VALUE!</v>
      </c>
      <c r="AK70" s="290" t="e">
        <f>($D70-Stoff!$P70*$D70-AI70)*($F70/($F70+Stoff!$L70*365))</f>
        <v>#VALUE!</v>
      </c>
      <c r="AL70" s="290" t="e">
        <f>(Stoff!$P70*$D70)-AJ70</f>
        <v>#VALUE!</v>
      </c>
      <c r="AM70" s="290" t="e">
        <f>($O70+AK70)*EXP(-($N70+Stoff!$M70*365)*AH70)</f>
        <v>#VALUE!</v>
      </c>
      <c r="AN70" s="290" t="e">
        <f>(Stoff!$P70*$O70+AL70)*EXP(-('1a. Spredningsmodell input'!$B$46)*AH70)</f>
        <v>#VALUE!</v>
      </c>
      <c r="AO70" s="292" t="e">
        <f>((AM70+AN70)*1000000000)/('1a. Spredningsmodell input'!$B$45*1000)</f>
        <v>#VALUE!</v>
      </c>
      <c r="AP70" s="294" t="e">
        <f>0.001*AO70/('1a. Spredningsmodell input'!$C$25+'1a. Spredningsmodell input'!$C$26/Mellomregninger!$K70)</f>
        <v>#VALUE!</v>
      </c>
      <c r="AQ70" s="294" t="e">
        <f>1000*AP70/$K70+AN70*1000000000/('1a. Spredningsmodell input'!$B$45*1000)</f>
        <v>#VALUE!</v>
      </c>
      <c r="AR70" s="294" t="e">
        <f t="shared" si="36"/>
        <v>#VALUE!</v>
      </c>
      <c r="AS70" s="294" t="e">
        <f>AN70*1000000000/('1a. Spredningsmodell input'!$B$45*1000)</f>
        <v>#VALUE!</v>
      </c>
      <c r="AT70" s="295">
        <f t="shared" si="37"/>
        <v>5</v>
      </c>
      <c r="AU70" s="290" t="e">
        <f>($D70-Stoff!$P70*$D70)*EXP(-($F70+Stoff!$L70*365)*AT70)</f>
        <v>#VALUE!</v>
      </c>
      <c r="AV70" s="291" t="e">
        <f>(Stoff!$P70*$D70)*EXP(-'1a. Spredningsmodell input'!$B$43*AT70)</f>
        <v>#VALUE!</v>
      </c>
      <c r="AW70" s="290" t="e">
        <f>($D70-Stoff!$P70*$D70-AU70)*($F70/($F70+Stoff!$L70*365))</f>
        <v>#VALUE!</v>
      </c>
      <c r="AX70" s="290" t="e">
        <f>(Stoff!$P70*$D70)-AV70</f>
        <v>#VALUE!</v>
      </c>
      <c r="AY70" s="290" t="e">
        <f>($O70+AW70)*EXP(-($N70+Stoff!$M70*365)*AT70)</f>
        <v>#VALUE!</v>
      </c>
      <c r="AZ70" s="290" t="e">
        <f>(Stoff!$P70*$O70+AX70)*EXP(-('1a. Spredningsmodell input'!$B$46)*AT70)</f>
        <v>#VALUE!</v>
      </c>
      <c r="BA70" s="292" t="e">
        <f>((AY70+AZ70)*1000000000)/('1a. Spredningsmodell input'!$B$45*1000)</f>
        <v>#VALUE!</v>
      </c>
      <c r="BB70" s="294" t="e">
        <f>0.001*BA70/('1a. Spredningsmodell input'!$C$25+'1a. Spredningsmodell input'!$C$26/Mellomregninger!$K70)</f>
        <v>#VALUE!</v>
      </c>
      <c r="BC70" s="294" t="e">
        <f>1000*BB70/$K70+AZ70*1000000000/('1a. Spredningsmodell input'!$B$45*1000)</f>
        <v>#VALUE!</v>
      </c>
      <c r="BD70" s="294" t="e">
        <f t="shared" si="38"/>
        <v>#VALUE!</v>
      </c>
      <c r="BE70" s="294" t="e">
        <f>AZ70*1000000000/('1a. Spredningsmodell input'!$B$45*1000)</f>
        <v>#VALUE!</v>
      </c>
      <c r="BF70" s="295">
        <f t="shared" si="39"/>
        <v>20</v>
      </c>
      <c r="BG70" s="290" t="e">
        <f>($D70-Stoff!$P70*$D70)*EXP(-($F70+Stoff!$L70*365)*BF70)</f>
        <v>#VALUE!</v>
      </c>
      <c r="BH70" s="291" t="e">
        <f>(Stoff!$P70*$D70)*EXP(-'1a. Spredningsmodell input'!$B$43*BF70)</f>
        <v>#VALUE!</v>
      </c>
      <c r="BI70" s="290" t="e">
        <f>($D70-Stoff!$P70*$D70-BG70)*($F70/($F70+Stoff!$L70*365))</f>
        <v>#VALUE!</v>
      </c>
      <c r="BJ70" s="290" t="e">
        <f>(Stoff!$P70*$D70)-BH70</f>
        <v>#VALUE!</v>
      </c>
      <c r="BK70" s="290" t="e">
        <f>($O70+BI70)*EXP(-($N70+Stoff!$M70*365)*BF70)</f>
        <v>#VALUE!</v>
      </c>
      <c r="BL70" s="290" t="e">
        <f>(Stoff!$P70*$O70+BJ70)*EXP(-('1a. Spredningsmodell input'!$B$46)*BF70)</f>
        <v>#VALUE!</v>
      </c>
      <c r="BM70" s="292" t="e">
        <f>((BK70+BL70)*1000000000)/('1a. Spredningsmodell input'!$B$45*1000)</f>
        <v>#VALUE!</v>
      </c>
      <c r="BN70" s="294" t="e">
        <f>0.001*BM70/('1a. Spredningsmodell input'!$C$25+'1a. Spredningsmodell input'!$C$26/Mellomregninger!$K70)</f>
        <v>#VALUE!</v>
      </c>
      <c r="BO70" s="294" t="e">
        <f>1000*BN70/$K70+BL70*1000000000/('1a. Spredningsmodell input'!$B$45*1000)</f>
        <v>#VALUE!</v>
      </c>
      <c r="BP70" s="294" t="e">
        <f t="shared" si="40"/>
        <v>#VALUE!</v>
      </c>
      <c r="BQ70" s="294" t="e">
        <f>BL70*1000000000/('1a. Spredningsmodell input'!$B$45*1000)</f>
        <v>#VALUE!</v>
      </c>
      <c r="BR70" s="295">
        <f t="shared" si="41"/>
        <v>100</v>
      </c>
      <c r="BS70" s="290" t="e">
        <f>($D70-Stoff!$P70*$D70)*EXP(-($F70+Stoff!$L70*365)*BR70)</f>
        <v>#VALUE!</v>
      </c>
      <c r="BT70" s="291" t="e">
        <f>(Stoff!$P70*$D70)*EXP(-'1a. Spredningsmodell input'!$B$43*BR70)</f>
        <v>#VALUE!</v>
      </c>
      <c r="BU70" s="290" t="e">
        <f>($D70-Stoff!$P70*$D70-BS70)*($F70/($F70+Stoff!$L70*365))</f>
        <v>#VALUE!</v>
      </c>
      <c r="BV70" s="290" t="e">
        <f>(Stoff!$P70*$D70)-BT70</f>
        <v>#VALUE!</v>
      </c>
      <c r="BW70" s="290" t="e">
        <f>($O70+BU70)*EXP(-($N70+Stoff!$M70*365)*BR70)</f>
        <v>#VALUE!</v>
      </c>
      <c r="BX70" s="290" t="e">
        <f>(Stoff!$P70*$O70+BV70)*EXP(-('1a. Spredningsmodell input'!$B$46)*BR70)</f>
        <v>#VALUE!</v>
      </c>
      <c r="BY70" s="292" t="e">
        <f>((BW70+BX70)*1000000000)/('1a. Spredningsmodell input'!$B$45*1000)</f>
        <v>#VALUE!</v>
      </c>
      <c r="BZ70" s="294" t="e">
        <f>0.001*BY70/('1a. Spredningsmodell input'!$C$25+'1a. Spredningsmodell input'!$C$26/Mellomregninger!$K70)</f>
        <v>#VALUE!</v>
      </c>
      <c r="CA70" s="294" t="e">
        <f>1000*BZ70/$K70+BX70*1000000000/('1a. Spredningsmodell input'!$B$45*1000)</f>
        <v>#VALUE!</v>
      </c>
      <c r="CB70" s="294" t="e">
        <f t="shared" si="42"/>
        <v>#VALUE!</v>
      </c>
      <c r="CC70" s="294" t="e">
        <f>BX70*1000000000/('1a. Spredningsmodell input'!$B$45*1000)</f>
        <v>#VALUE!</v>
      </c>
      <c r="CD70" s="294" t="e">
        <f>V70+'1a. Spredningsmodell input'!$C$35</f>
        <v>#VALUE!</v>
      </c>
      <c r="CE70" s="294" t="e">
        <f>($S70+$Q70*($O70+$I70*($D70*(1-Stoff!$P70))*(1-EXP(-($F70+Stoff!$L70*365)*CD70)))*(1-EXP(-($N70+Stoff!$M70*365)*CD70)))</f>
        <v>#VALUE!</v>
      </c>
      <c r="CF70" s="294" t="e">
        <f t="shared" si="43"/>
        <v>#VALUE!</v>
      </c>
      <c r="CG70" s="296" t="e">
        <f>(CF70/1000000)*'1a. Spredningsmodell input'!$B$49*'1a. Spredningsmodell input'!$C$35</f>
        <v>#VALUE!</v>
      </c>
      <c r="CH70" s="294" t="e">
        <f t="shared" si="44"/>
        <v>#VALUE!</v>
      </c>
      <c r="CI70" s="290" t="e">
        <f>(CH70/1000000)*'1a. Spredningsmodell input'!$B$49*'1a. Spredningsmodell input'!$C$35</f>
        <v>#VALUE!</v>
      </c>
      <c r="CJ70" s="297" t="e">
        <f>($S70)*EXP(-(Stoff!$N70*365+$U70)*CD70)+CG70</f>
        <v>#VALUE!</v>
      </c>
      <c r="CK70" s="297" t="e">
        <f>(Stoff!$P70*$S70+CI70)*EXP(-$T70*CD70)</f>
        <v>#VALUE!</v>
      </c>
      <c r="CL70" s="297" t="e">
        <f>(CJ70+CK70)*1000000000/('1a. Spredningsmodell input'!$C$36*1000)</f>
        <v>#VALUE!</v>
      </c>
      <c r="CM70" s="297" t="e">
        <f>$G70*(1-EXP(-'1a. Spredningsmodell input'!$B$43*Mellomregninger!CD70))*(1-EXP(-'1a. Spredningsmodell input'!$B$46*Mellomregninger!CD70))</f>
        <v>#VALUE!</v>
      </c>
      <c r="CN70" s="297"/>
      <c r="CO70" s="297"/>
      <c r="CP70" s="290">
        <f>IF(ISNUMBER(AH70),AH70+'1a. Spredningsmodell input'!$C$35,'1a. Spredningsmodell input'!$C$35)</f>
        <v>1</v>
      </c>
      <c r="CQ70" s="294" t="e">
        <f>($S70+$Q70*($O70+$I70*($D70*(1-Stoff!$P70))*(1-EXP(-($F70+Stoff!$L70*365)*CP70)))*(1-EXP(-($N70+Stoff!$M70*365)*CP70)))</f>
        <v>#VALUE!</v>
      </c>
      <c r="CR70" s="294" t="e">
        <f t="shared" si="45"/>
        <v>#VALUE!</v>
      </c>
      <c r="CS70" s="296" t="e">
        <f>(CR70/1000000)*('1a. Spredningsmodell input'!$B$49*'1a. Spredningsmodell input'!$C$35)</f>
        <v>#VALUE!</v>
      </c>
      <c r="CT70" s="294" t="e">
        <f t="shared" si="46"/>
        <v>#VALUE!</v>
      </c>
      <c r="CU70" s="290" t="e">
        <f>(CT70/1000000)*('1a. Spredningsmodell input'!$B$49)*'1a. Spredningsmodell input'!$C$35</f>
        <v>#VALUE!</v>
      </c>
      <c r="CV70" s="297" t="e">
        <f>($S70)*EXP(-(Stoff!$N70*365+$U70)*CP70)+CS70</f>
        <v>#VALUE!</v>
      </c>
      <c r="CW70" s="297" t="e">
        <f>(Stoff!$P70*$S70+CU70)*EXP(-$T70*CP70)</f>
        <v>#VALUE!</v>
      </c>
      <c r="CX70" s="297">
        <f>IF(ISERROR(CV70),0,(CV70+CW70)*1000000000/('1a. Spredningsmodell input'!$C$36*1000))</f>
        <v>0</v>
      </c>
      <c r="CY70" s="297" t="e">
        <f>$G70*(1-EXP(-'1a. Spredningsmodell input'!$B$43*Mellomregninger!CP70))*(1-EXP(-'1a. Spredningsmodell input'!$B$46*Mellomregninger!CP70))</f>
        <v>#VALUE!</v>
      </c>
      <c r="CZ70" s="297"/>
      <c r="DA70" s="297"/>
      <c r="DB70" s="262">
        <f t="shared" si="47"/>
        <v>5</v>
      </c>
      <c r="DC70" s="298" t="e">
        <f>($S70+$Q70*($O70+$I70*($D70*(1-Stoff!$P70))*(1-EXP(-($F70+Stoff!$L70*365)*DB70)))*(1-EXP(-($N70+Stoff!$M70*365)*DB70)))</f>
        <v>#VALUE!</v>
      </c>
      <c r="DD70" s="294" t="e">
        <f t="shared" si="48"/>
        <v>#VALUE!</v>
      </c>
      <c r="DE70" s="296" t="e">
        <f>(DD70/1000000)*('1a. Spredningsmodell input'!$B$49)*'1a. Spredningsmodell input'!$C$35</f>
        <v>#VALUE!</v>
      </c>
      <c r="DF70" s="294" t="e">
        <f t="shared" si="49"/>
        <v>#VALUE!</v>
      </c>
      <c r="DG70" s="290" t="e">
        <f>(DF70/1000000)*('1a. Spredningsmodell input'!$B$49)*'1a. Spredningsmodell input'!$C$35</f>
        <v>#VALUE!</v>
      </c>
      <c r="DH70" s="297" t="e">
        <f>($S70)*EXP(-(Stoff!$N70*365+$U70)*DB70)+DE70</f>
        <v>#VALUE!</v>
      </c>
      <c r="DI70" s="297" t="e">
        <f>(Stoff!$P70*$S70+DG70)*EXP(-$T70*DB70)</f>
        <v>#VALUE!</v>
      </c>
      <c r="DJ70" s="297" t="e">
        <f>(DH70+DI70)*1000000000/('1a. Spredningsmodell input'!$C$36*1000)</f>
        <v>#VALUE!</v>
      </c>
      <c r="DK70" s="297" t="e">
        <f>$G70*(1-EXP(-'1a. Spredningsmodell input'!$B$43*Mellomregninger!DB70))*(1-EXP(-'1a. Spredningsmodell input'!$B$46*Mellomregninger!DB70))</f>
        <v>#VALUE!</v>
      </c>
      <c r="DL70" s="297"/>
      <c r="DM70" s="297"/>
      <c r="DN70" s="262">
        <f t="shared" si="50"/>
        <v>20</v>
      </c>
      <c r="DO70" s="298" t="e">
        <f>($S70+$Q70*($O70+$I70*($D70*(1-Stoff!$P70))*(1-EXP(-($F70+Stoff!$L70*365)*DN70)))*(1-EXP(-($N70+Stoff!$M70*365)*DN70)))</f>
        <v>#VALUE!</v>
      </c>
      <c r="DP70" s="294" t="e">
        <f t="shared" si="51"/>
        <v>#VALUE!</v>
      </c>
      <c r="DQ70" s="296" t="e">
        <f>(DP70/1000000)*('1a. Spredningsmodell input'!$B$49)*'1a. Spredningsmodell input'!$C$35</f>
        <v>#VALUE!</v>
      </c>
      <c r="DR70" s="294" t="e">
        <f t="shared" si="52"/>
        <v>#VALUE!</v>
      </c>
      <c r="DS70" s="290" t="e">
        <f>(DR70/1000000)*('1a. Spredningsmodell input'!$B$49)*'1a. Spredningsmodell input'!$C$35</f>
        <v>#VALUE!</v>
      </c>
      <c r="DT70" s="297" t="e">
        <f>($S70)*EXP(-(Stoff!$N70*365+$U70)*DN70)+DQ70</f>
        <v>#VALUE!</v>
      </c>
      <c r="DU70" s="297" t="e">
        <f>(Stoff!$P70*$S70+DS70)*EXP(-$T70*DN70)</f>
        <v>#VALUE!</v>
      </c>
      <c r="DV70" s="297" t="e">
        <f>(DT70+DU70)*1000000000/('1a. Spredningsmodell input'!$C$36*1000)</f>
        <v>#VALUE!</v>
      </c>
      <c r="DW70" s="297" t="e">
        <f>$G70*(1-EXP(-'1a. Spredningsmodell input'!$B$43*Mellomregninger!DN70))*(1-EXP(-'1a. Spredningsmodell input'!$B$46*Mellomregninger!DN70))</f>
        <v>#VALUE!</v>
      </c>
      <c r="DX70" s="297"/>
      <c r="DY70" s="297"/>
      <c r="DZ70" s="262">
        <f t="shared" si="53"/>
        <v>100</v>
      </c>
      <c r="EA70" s="298" t="e">
        <f>($S70+$Q70*($O70+$I70*($D70*(1-Stoff!$P70))*(1-EXP(-($F70+Stoff!$L70*365)*DZ70)))*(1-EXP(-($N70+Stoff!$M70*365)*DZ70)))</f>
        <v>#VALUE!</v>
      </c>
      <c r="EB70" s="294" t="e">
        <f t="shared" si="54"/>
        <v>#VALUE!</v>
      </c>
      <c r="EC70" s="296" t="e">
        <f>(EB70/1000000)*('1a. Spredningsmodell input'!$B$49)*'1a. Spredningsmodell input'!$C$35</f>
        <v>#VALUE!</v>
      </c>
      <c r="ED70" s="294" t="e">
        <f t="shared" si="55"/>
        <v>#VALUE!</v>
      </c>
      <c r="EE70" s="290" t="e">
        <f>(ED70/1000000)*('1a. Spredningsmodell input'!$B$49)*'1a. Spredningsmodell input'!$C$35</f>
        <v>#VALUE!</v>
      </c>
      <c r="EF70" s="297" t="e">
        <f>($S70)*EXP(-(Stoff!$N70*365+$U70)*DZ70)+EC70</f>
        <v>#VALUE!</v>
      </c>
      <c r="EG70" s="297" t="e">
        <f>(Stoff!$P70*$S70+EE70)*EXP(-$T70*DZ70)</f>
        <v>#VALUE!</v>
      </c>
      <c r="EH70" s="297" t="e">
        <f>(EF70+EG70)*1000000000/('1a. Spredningsmodell input'!$C$36*1000)</f>
        <v>#VALUE!</v>
      </c>
      <c r="EI70" s="297" t="e">
        <f>$G70*(1-EXP(-'1a. Spredningsmodell input'!$B$43*Mellomregninger!DZ70))*(1-EXP(-'1a. Spredningsmodell input'!$B$46*Mellomregninger!DZ70))</f>
        <v>#VALUE!</v>
      </c>
      <c r="EJ70" s="297"/>
      <c r="EK70" s="297"/>
      <c r="EL70" s="262">
        <f t="shared" si="56"/>
        <v>1.0000000000000001E+25</v>
      </c>
      <c r="EM70" s="294" t="e">
        <f>($S70+$Q70*($O70+$I70*($D70*(1-Stoff!$P70))*(1-EXP(-($F70+Stoff!$L70*365)*EL70)))*(1-EXP(-($N70+Stoff!$M70*365)*EL70)))</f>
        <v>#VALUE!</v>
      </c>
      <c r="EN70" s="296" t="e">
        <f>($S70+$Q70*($O70+$I70*($D70*(1-Stoff!$P70))*(1-EXP(-($F70+Stoff!$L70*365)*(EL70-'1a. Spredningsmodell input'!$C$35))))*(1-EXP(-($N70+Stoff!$M70*365)*(EL70-'1a. Spredningsmodell input'!$C$35))))</f>
        <v>#VALUE!</v>
      </c>
      <c r="EO70" s="294" t="e">
        <f>IF(EL70&lt;'1a. Spredningsmodell input'!$C$35,EM70-($S70)*EXP(-(Stoff!$N70*365+$U70)*EL70),EM70-EN70)</f>
        <v>#VALUE!</v>
      </c>
      <c r="EP70" s="290" t="e">
        <f>((($D70*(Stoff!$P70))*(1-EXP(-'1a. Spredningsmodell input'!$B$43*EL70)))*(1-EXP(-'1a. Spredningsmodell input'!$B$46*EL70)))</f>
        <v>#VALUE!</v>
      </c>
      <c r="EQ70" s="294" t="e">
        <f>((($D70*(Stoff!$P70))*(1-EXP(-'1a. Spredningsmodell input'!$B$43*(EL70-'1a. Spredningsmodell input'!$C$35))))*(1-EXP(-'1a. Spredningsmodell input'!$B$46*(EL70-'1a. Spredningsmodell input'!$C$35))))</f>
        <v>#VALUE!</v>
      </c>
      <c r="ER70" s="290" t="e">
        <f>IF(EL70&lt;'1a. Spredningsmodell input'!$C$35,0,EP70-EQ70)</f>
        <v>#VALUE!</v>
      </c>
      <c r="ES70" s="297" t="e">
        <f>($S70)*EXP(-(Stoff!$N70*365+$U70)*EL70)+EO70</f>
        <v>#VALUE!</v>
      </c>
      <c r="ET70" s="297" t="e">
        <f>(Stoff!$P70*$S70+ER70)*EXP(-$T70*EL70)</f>
        <v>#VALUE!</v>
      </c>
      <c r="EU70" s="297" t="e">
        <f>(ES70+ET70)*1000000000/('1a. Spredningsmodell input'!$C$36*1000)</f>
        <v>#VALUE!</v>
      </c>
      <c r="EV70" s="262" t="e">
        <f t="shared" si="57"/>
        <v>#VALUE!</v>
      </c>
      <c r="EW70" s="299" t="e">
        <f t="shared" si="58"/>
        <v>#VALUE!</v>
      </c>
      <c r="EX70" s="262" t="e">
        <f t="shared" si="59"/>
        <v>#VALUE!</v>
      </c>
    </row>
    <row r="71" spans="1:154" x14ac:dyDescent="0.35">
      <c r="A71" s="50" t="s">
        <v>139</v>
      </c>
      <c r="B71" s="34" t="str">
        <f>IF(ISNUMBER('1c. Kons. porevann'!E71),1000*'1c. Kons. porevann'!E71,IF(ISNUMBER('1b. Kons. umettet jord'!E71),1000*'1b. Kons. umettet jord'!E71/C71,""))</f>
        <v/>
      </c>
      <c r="C71" s="244">
        <f>IF(Stoff!B71="uorganisk",Stoff!C71,Stoff!D71*'1a. Spredningsmodell input'!$C$11)</f>
        <v>457.09000000000003</v>
      </c>
      <c r="D71" s="34" t="str">
        <f>IF(ISNUMBER(B71),0.000001*('1b. Kons. umettet jord'!G71*'1a. Spredningsmodell input'!$C$12+B71*0.001*'1a. Spredningsmodell input'!$C$14)*1000*'1a. Spredningsmodell input'!$B$41*'1a. Spredningsmodell input'!$C$18,"")</f>
        <v/>
      </c>
      <c r="E71" s="283">
        <f>C71*'1a. Spredningsmodell input'!$C$12/'1a. Spredningsmodell input'!$C$14+1</f>
        <v>3886.2649999999999</v>
      </c>
      <c r="F71" s="284">
        <f>'1a. Spredningsmodell input'!$B$43/E71</f>
        <v>3.8597470836394321E-4</v>
      </c>
      <c r="G71" s="34" t="e">
        <f>Stoff!P71*Mellomregninger!D71</f>
        <v>#VALUE!</v>
      </c>
      <c r="H71" s="283" t="e">
        <f>(D71-G71)*(F71/(F71+Stoff!L71))</f>
        <v>#VALUE!</v>
      </c>
      <c r="I71" s="283">
        <f>F71/(F71+Stoff!L71)</f>
        <v>1</v>
      </c>
      <c r="J71" s="285" t="str">
        <f>IF(B71="","",IF(ISNUMBER('1d. Kons. mettet sone'!E71),'1d. Kons. mettet sone'!E71,IF(ISNUMBER('1e. Kons. grunnvann'!E71),'1e. Kons. grunnvann'!E71*Mellomregninger!K71,0)))</f>
        <v/>
      </c>
      <c r="K71" s="286">
        <f>IF(Stoff!B71="uorganisk",Stoff!C71,Stoff!D71*'1a. Spredningsmodell input'!$C$24)</f>
        <v>45.709000000000003</v>
      </c>
      <c r="L71" s="27" t="e">
        <f>IF(ISNUMBER('1e. Kons. grunnvann'!E71),1000*'1e. Kons. grunnvann'!E71,1000*J71/K71)</f>
        <v>#VALUE!</v>
      </c>
      <c r="M71" s="34">
        <f>K71*'1a. Spredningsmodell input'!$C$25/'1a. Spredningsmodell input'!$C$26+1</f>
        <v>195.26325</v>
      </c>
      <c r="N71" s="284">
        <f>'1a. Spredningsmodell input'!$C$26/M71</f>
        <v>2.0485165539342403E-3</v>
      </c>
      <c r="O71" s="287" t="e">
        <f>0.000000001*(J71*'1a. Spredningsmodell input'!$C$25+L71)*1000*'1a. Spredningsmodell input'!$B$45</f>
        <v>#VALUE!</v>
      </c>
      <c r="P71" s="287" t="e">
        <f>O71*Stoff!P71</f>
        <v>#VALUE!</v>
      </c>
      <c r="Q71" s="287">
        <f>N71/(N71+Stoff!M71)</f>
        <v>1</v>
      </c>
      <c r="R71" s="288">
        <f>IF(ISNUMBER('1f. Kons. resipient'!E71),'1f. Kons. resipient'!E71,0)</f>
        <v>0</v>
      </c>
      <c r="S71" s="288">
        <f>0.000000001*'1a. Spredningsmodell input'!$C$36*R71*1000</f>
        <v>0</v>
      </c>
      <c r="T71" s="288">
        <f>1/'1a. Spredningsmodell input'!$C$35</f>
        <v>1</v>
      </c>
      <c r="U71" s="288">
        <f>1/'1a. Spredningsmodell input'!$C$35</f>
        <v>1</v>
      </c>
      <c r="V71" s="300" t="e">
        <f>(1/($N71+Stoff!$L71))*(LN(($D71*$I71/($D71*$I71+$J71))*($F71+Stoff!$L71+$N71+Stoff!$M71)/($N71+Stoff!$M71)))</f>
        <v>#VALUE!</v>
      </c>
      <c r="W71" s="290" t="e">
        <f>($D71-Stoff!$P71*$D71)*EXP(-($F71+Stoff!$L71*365)*V71)</f>
        <v>#VALUE!</v>
      </c>
      <c r="X71" s="291" t="e">
        <f>(Stoff!$P71*$D71)*EXP(-'1a. Spredningsmodell input'!$B$43*V71)</f>
        <v>#VALUE!</v>
      </c>
      <c r="Y71" s="290" t="e">
        <f>($D71-Stoff!$P71*$D71-W71)*($F71/($F71+Stoff!$L71*365))</f>
        <v>#VALUE!</v>
      </c>
      <c r="Z71" s="290" t="e">
        <f>(Stoff!$P71*$D71)-X71</f>
        <v>#VALUE!</v>
      </c>
      <c r="AA71" s="290" t="e">
        <f>($O71+Y71)*EXP(-($N71+Stoff!$M71*365)*V71)</f>
        <v>#VALUE!</v>
      </c>
      <c r="AB71" s="290" t="e">
        <f>(Stoff!$P71*$O71+Z71)*EXP(-('1a. Spredningsmodell input'!$B$46)*V71)</f>
        <v>#VALUE!</v>
      </c>
      <c r="AC71" s="292" t="e">
        <f>((AA71+AB71)*1000000000)/('1a. Spredningsmodell input'!$B$45*1000)</f>
        <v>#VALUE!</v>
      </c>
      <c r="AD71" s="294" t="e">
        <f>0.001*AC71/('1a. Spredningsmodell input'!$C$25+'1a. Spredningsmodell input'!$C$26/Mellomregninger!$K71)</f>
        <v>#VALUE!</v>
      </c>
      <c r="AE71" s="294" t="e">
        <f>1000*AD71/$K71+AB71*1000000000/('1a. Spredningsmodell input'!$B$45*1000)</f>
        <v>#VALUE!</v>
      </c>
      <c r="AF71" s="294" t="e">
        <f t="shared" si="35"/>
        <v>#VALUE!</v>
      </c>
      <c r="AG71" s="294" t="e">
        <f>AB71*1000000000/('1a. Spredningsmodell input'!$B$45*1000)</f>
        <v>#VALUE!</v>
      </c>
      <c r="AH71" s="300" t="e">
        <f>(1/('1a. Spredningsmodell input'!$B$46))*(LN(($D71*Stoff!$P71/($D71*Stoff!$P71+$P71*Stoff!$P71))*('1a. Spredningsmodell input'!$B$43+'1a. Spredningsmodell input'!$B$46)/('1a. Spredningsmodell input'!$B$46)))</f>
        <v>#VALUE!</v>
      </c>
      <c r="AI71" s="290" t="e">
        <f>($D71-Stoff!$P71*$D71)*EXP(-($F71+Stoff!$L71*365)*AH71)</f>
        <v>#VALUE!</v>
      </c>
      <c r="AJ71" s="291" t="e">
        <f>(Stoff!$P71*$D71)*EXP(-'1a. Spredningsmodell input'!$B$43*AH71)</f>
        <v>#VALUE!</v>
      </c>
      <c r="AK71" s="290" t="e">
        <f>($D71-Stoff!$P71*$D71-AI71)*($F71/($F71+Stoff!$L71*365))</f>
        <v>#VALUE!</v>
      </c>
      <c r="AL71" s="290" t="e">
        <f>(Stoff!$P71*$D71)-AJ71</f>
        <v>#VALUE!</v>
      </c>
      <c r="AM71" s="290" t="e">
        <f>($O71+AK71)*EXP(-($N71+Stoff!$M71*365)*AH71)</f>
        <v>#VALUE!</v>
      </c>
      <c r="AN71" s="290" t="e">
        <f>(Stoff!$P71*$O71+AL71)*EXP(-('1a. Spredningsmodell input'!$B$46)*AH71)</f>
        <v>#VALUE!</v>
      </c>
      <c r="AO71" s="292" t="e">
        <f>((AM71+AN71)*1000000000)/('1a. Spredningsmodell input'!$B$45*1000)</f>
        <v>#VALUE!</v>
      </c>
      <c r="AP71" s="294" t="e">
        <f>0.001*AO71/('1a. Spredningsmodell input'!$C$25+'1a. Spredningsmodell input'!$C$26/Mellomregninger!$K71)</f>
        <v>#VALUE!</v>
      </c>
      <c r="AQ71" s="294" t="e">
        <f>1000*AP71/$K71+AN71*1000000000/('1a. Spredningsmodell input'!$B$45*1000)</f>
        <v>#VALUE!</v>
      </c>
      <c r="AR71" s="294" t="e">
        <f t="shared" si="36"/>
        <v>#VALUE!</v>
      </c>
      <c r="AS71" s="294" t="e">
        <f>AN71*1000000000/('1a. Spredningsmodell input'!$B$45*1000)</f>
        <v>#VALUE!</v>
      </c>
      <c r="AT71" s="295">
        <f t="shared" si="37"/>
        <v>5</v>
      </c>
      <c r="AU71" s="290" t="e">
        <f>($D71-Stoff!$P71*$D71)*EXP(-($F71+Stoff!$L71*365)*AT71)</f>
        <v>#VALUE!</v>
      </c>
      <c r="AV71" s="291" t="e">
        <f>(Stoff!$P71*$D71)*EXP(-'1a. Spredningsmodell input'!$B$43*AT71)</f>
        <v>#VALUE!</v>
      </c>
      <c r="AW71" s="290" t="e">
        <f>($D71-Stoff!$P71*$D71-AU71)*($F71/($F71+Stoff!$L71*365))</f>
        <v>#VALUE!</v>
      </c>
      <c r="AX71" s="290" t="e">
        <f>(Stoff!$P71*$D71)-AV71</f>
        <v>#VALUE!</v>
      </c>
      <c r="AY71" s="290" t="e">
        <f>($O71+AW71)*EXP(-($N71+Stoff!$M71*365)*AT71)</f>
        <v>#VALUE!</v>
      </c>
      <c r="AZ71" s="290" t="e">
        <f>(Stoff!$P71*$O71+AX71)*EXP(-('1a. Spredningsmodell input'!$B$46)*AT71)</f>
        <v>#VALUE!</v>
      </c>
      <c r="BA71" s="292" t="e">
        <f>((AY71+AZ71)*1000000000)/('1a. Spredningsmodell input'!$B$45*1000)</f>
        <v>#VALUE!</v>
      </c>
      <c r="BB71" s="294" t="e">
        <f>0.001*BA71/('1a. Spredningsmodell input'!$C$25+'1a. Spredningsmodell input'!$C$26/Mellomregninger!$K71)</f>
        <v>#VALUE!</v>
      </c>
      <c r="BC71" s="294" t="e">
        <f>1000*BB71/$K71+AZ71*1000000000/('1a. Spredningsmodell input'!$B$45*1000)</f>
        <v>#VALUE!</v>
      </c>
      <c r="BD71" s="294" t="e">
        <f t="shared" si="38"/>
        <v>#VALUE!</v>
      </c>
      <c r="BE71" s="294" t="e">
        <f>AZ71*1000000000/('1a. Spredningsmodell input'!$B$45*1000)</f>
        <v>#VALUE!</v>
      </c>
      <c r="BF71" s="295">
        <f t="shared" si="39"/>
        <v>20</v>
      </c>
      <c r="BG71" s="290" t="e">
        <f>($D71-Stoff!$P71*$D71)*EXP(-($F71+Stoff!$L71*365)*BF71)</f>
        <v>#VALUE!</v>
      </c>
      <c r="BH71" s="291" t="e">
        <f>(Stoff!$P71*$D71)*EXP(-'1a. Spredningsmodell input'!$B$43*BF71)</f>
        <v>#VALUE!</v>
      </c>
      <c r="BI71" s="290" t="e">
        <f>($D71-Stoff!$P71*$D71-BG71)*($F71/($F71+Stoff!$L71*365))</f>
        <v>#VALUE!</v>
      </c>
      <c r="BJ71" s="290" t="e">
        <f>(Stoff!$P71*$D71)-BH71</f>
        <v>#VALUE!</v>
      </c>
      <c r="BK71" s="290" t="e">
        <f>($O71+BI71)*EXP(-($N71+Stoff!$M71*365)*BF71)</f>
        <v>#VALUE!</v>
      </c>
      <c r="BL71" s="290" t="e">
        <f>(Stoff!$P71*$O71+BJ71)*EXP(-('1a. Spredningsmodell input'!$B$46)*BF71)</f>
        <v>#VALUE!</v>
      </c>
      <c r="BM71" s="292" t="e">
        <f>((BK71+BL71)*1000000000)/('1a. Spredningsmodell input'!$B$45*1000)</f>
        <v>#VALUE!</v>
      </c>
      <c r="BN71" s="294" t="e">
        <f>0.001*BM71/('1a. Spredningsmodell input'!$C$25+'1a. Spredningsmodell input'!$C$26/Mellomregninger!$K71)</f>
        <v>#VALUE!</v>
      </c>
      <c r="BO71" s="294" t="e">
        <f>1000*BN71/$K71+BL71*1000000000/('1a. Spredningsmodell input'!$B$45*1000)</f>
        <v>#VALUE!</v>
      </c>
      <c r="BP71" s="294" t="e">
        <f t="shared" si="40"/>
        <v>#VALUE!</v>
      </c>
      <c r="BQ71" s="294" t="e">
        <f>BL71*1000000000/('1a. Spredningsmodell input'!$B$45*1000)</f>
        <v>#VALUE!</v>
      </c>
      <c r="BR71" s="295">
        <f t="shared" si="41"/>
        <v>100</v>
      </c>
      <c r="BS71" s="290" t="e">
        <f>($D71-Stoff!$P71*$D71)*EXP(-($F71+Stoff!$L71*365)*BR71)</f>
        <v>#VALUE!</v>
      </c>
      <c r="BT71" s="291" t="e">
        <f>(Stoff!$P71*$D71)*EXP(-'1a. Spredningsmodell input'!$B$43*BR71)</f>
        <v>#VALUE!</v>
      </c>
      <c r="BU71" s="290" t="e">
        <f>($D71-Stoff!$P71*$D71-BS71)*($F71/($F71+Stoff!$L71*365))</f>
        <v>#VALUE!</v>
      </c>
      <c r="BV71" s="290" t="e">
        <f>(Stoff!$P71*$D71)-BT71</f>
        <v>#VALUE!</v>
      </c>
      <c r="BW71" s="290" t="e">
        <f>($O71+BU71)*EXP(-($N71+Stoff!$M71*365)*BR71)</f>
        <v>#VALUE!</v>
      </c>
      <c r="BX71" s="290" t="e">
        <f>(Stoff!$P71*$O71+BV71)*EXP(-('1a. Spredningsmodell input'!$B$46)*BR71)</f>
        <v>#VALUE!</v>
      </c>
      <c r="BY71" s="292" t="e">
        <f>((BW71+BX71)*1000000000)/('1a. Spredningsmodell input'!$B$45*1000)</f>
        <v>#VALUE!</v>
      </c>
      <c r="BZ71" s="294" t="e">
        <f>0.001*BY71/('1a. Spredningsmodell input'!$C$25+'1a. Spredningsmodell input'!$C$26/Mellomregninger!$K71)</f>
        <v>#VALUE!</v>
      </c>
      <c r="CA71" s="294" t="e">
        <f>1000*BZ71/$K71+BX71*1000000000/('1a. Spredningsmodell input'!$B$45*1000)</f>
        <v>#VALUE!</v>
      </c>
      <c r="CB71" s="294" t="e">
        <f t="shared" si="42"/>
        <v>#VALUE!</v>
      </c>
      <c r="CC71" s="294" t="e">
        <f>BX71*1000000000/('1a. Spredningsmodell input'!$B$45*1000)</f>
        <v>#VALUE!</v>
      </c>
      <c r="CD71" s="294" t="e">
        <f>V71+'1a. Spredningsmodell input'!$C$35</f>
        <v>#VALUE!</v>
      </c>
      <c r="CE71" s="294" t="e">
        <f>($S71+$Q71*($O71+$I71*($D71*(1-Stoff!$P71))*(1-EXP(-($F71+Stoff!$L71*365)*CD71)))*(1-EXP(-($N71+Stoff!$M71*365)*CD71)))</f>
        <v>#VALUE!</v>
      </c>
      <c r="CF71" s="294" t="e">
        <f t="shared" si="43"/>
        <v>#VALUE!</v>
      </c>
      <c r="CG71" s="296" t="e">
        <f>(CF71/1000000)*'1a. Spredningsmodell input'!$B$49*'1a. Spredningsmodell input'!$C$35</f>
        <v>#VALUE!</v>
      </c>
      <c r="CH71" s="294" t="e">
        <f t="shared" si="44"/>
        <v>#VALUE!</v>
      </c>
      <c r="CI71" s="290" t="e">
        <f>(CH71/1000000)*'1a. Spredningsmodell input'!$B$49*'1a. Spredningsmodell input'!$C$35</f>
        <v>#VALUE!</v>
      </c>
      <c r="CJ71" s="297" t="e">
        <f>($S71)*EXP(-(Stoff!$N71*365+$U71)*CD71)+CG71</f>
        <v>#VALUE!</v>
      </c>
      <c r="CK71" s="297" t="e">
        <f>(Stoff!$P71*$S71+CI71)*EXP(-$T71*CD71)</f>
        <v>#VALUE!</v>
      </c>
      <c r="CL71" s="297" t="e">
        <f>(CJ71+CK71)*1000000000/('1a. Spredningsmodell input'!$C$36*1000)</f>
        <v>#VALUE!</v>
      </c>
      <c r="CM71" s="297" t="e">
        <f>$G71*(1-EXP(-'1a. Spredningsmodell input'!$B$43*Mellomregninger!CD71))*(1-EXP(-'1a. Spredningsmodell input'!$B$46*Mellomregninger!CD71))</f>
        <v>#VALUE!</v>
      </c>
      <c r="CN71" s="297"/>
      <c r="CO71" s="297"/>
      <c r="CP71" s="290">
        <f>IF(ISNUMBER(AH71),AH71+'1a. Spredningsmodell input'!$C$35,'1a. Spredningsmodell input'!$C$35)</f>
        <v>1</v>
      </c>
      <c r="CQ71" s="294" t="e">
        <f>($S71+$Q71*($O71+$I71*($D71*(1-Stoff!$P71))*(1-EXP(-($F71+Stoff!$L71*365)*CP71)))*(1-EXP(-($N71+Stoff!$M71*365)*CP71)))</f>
        <v>#VALUE!</v>
      </c>
      <c r="CR71" s="294" t="e">
        <f t="shared" si="45"/>
        <v>#VALUE!</v>
      </c>
      <c r="CS71" s="296" t="e">
        <f>(CR71/1000000)*('1a. Spredningsmodell input'!$B$49*'1a. Spredningsmodell input'!$C$35)</f>
        <v>#VALUE!</v>
      </c>
      <c r="CT71" s="294" t="e">
        <f t="shared" si="46"/>
        <v>#VALUE!</v>
      </c>
      <c r="CU71" s="290" t="e">
        <f>(CT71/1000000)*('1a. Spredningsmodell input'!$B$49)*'1a. Spredningsmodell input'!$C$35</f>
        <v>#VALUE!</v>
      </c>
      <c r="CV71" s="297" t="e">
        <f>($S71)*EXP(-(Stoff!$N71*365+$U71)*CP71)+CS71</f>
        <v>#VALUE!</v>
      </c>
      <c r="CW71" s="297" t="e">
        <f>(Stoff!$P71*$S71+CU71)*EXP(-$T71*CP71)</f>
        <v>#VALUE!</v>
      </c>
      <c r="CX71" s="297">
        <f>IF(ISERROR(CV71),0,(CV71+CW71)*1000000000/('1a. Spredningsmodell input'!$C$36*1000))</f>
        <v>0</v>
      </c>
      <c r="CY71" s="297" t="e">
        <f>$G71*(1-EXP(-'1a. Spredningsmodell input'!$B$43*Mellomregninger!CP71))*(1-EXP(-'1a. Spredningsmodell input'!$B$46*Mellomregninger!CP71))</f>
        <v>#VALUE!</v>
      </c>
      <c r="CZ71" s="297"/>
      <c r="DA71" s="297"/>
      <c r="DB71" s="262">
        <f t="shared" si="47"/>
        <v>5</v>
      </c>
      <c r="DC71" s="298" t="e">
        <f>($S71+$Q71*($O71+$I71*($D71*(1-Stoff!$P71))*(1-EXP(-($F71+Stoff!$L71*365)*DB71)))*(1-EXP(-($N71+Stoff!$M71*365)*DB71)))</f>
        <v>#VALUE!</v>
      </c>
      <c r="DD71" s="294" t="e">
        <f t="shared" si="48"/>
        <v>#VALUE!</v>
      </c>
      <c r="DE71" s="296" t="e">
        <f>(DD71/1000000)*('1a. Spredningsmodell input'!$B$49)*'1a. Spredningsmodell input'!$C$35</f>
        <v>#VALUE!</v>
      </c>
      <c r="DF71" s="294" t="e">
        <f t="shared" si="49"/>
        <v>#VALUE!</v>
      </c>
      <c r="DG71" s="290" t="e">
        <f>(DF71/1000000)*('1a. Spredningsmodell input'!$B$49)*'1a. Spredningsmodell input'!$C$35</f>
        <v>#VALUE!</v>
      </c>
      <c r="DH71" s="297" t="e">
        <f>($S71)*EXP(-(Stoff!$N71*365+$U71)*DB71)+DE71</f>
        <v>#VALUE!</v>
      </c>
      <c r="DI71" s="297" t="e">
        <f>(Stoff!$P71*$S71+DG71)*EXP(-$T71*DB71)</f>
        <v>#VALUE!</v>
      </c>
      <c r="DJ71" s="297" t="e">
        <f>(DH71+DI71)*1000000000/('1a. Spredningsmodell input'!$C$36*1000)</f>
        <v>#VALUE!</v>
      </c>
      <c r="DK71" s="297" t="e">
        <f>$G71*(1-EXP(-'1a. Spredningsmodell input'!$B$43*Mellomregninger!DB71))*(1-EXP(-'1a. Spredningsmodell input'!$B$46*Mellomregninger!DB71))</f>
        <v>#VALUE!</v>
      </c>
      <c r="DL71" s="297"/>
      <c r="DM71" s="297"/>
      <c r="DN71" s="262">
        <f t="shared" si="50"/>
        <v>20</v>
      </c>
      <c r="DO71" s="298" t="e">
        <f>($S71+$Q71*($O71+$I71*($D71*(1-Stoff!$P71))*(1-EXP(-($F71+Stoff!$L71*365)*DN71)))*(1-EXP(-($N71+Stoff!$M71*365)*DN71)))</f>
        <v>#VALUE!</v>
      </c>
      <c r="DP71" s="294" t="e">
        <f t="shared" si="51"/>
        <v>#VALUE!</v>
      </c>
      <c r="DQ71" s="296" t="e">
        <f>(DP71/1000000)*('1a. Spredningsmodell input'!$B$49)*'1a. Spredningsmodell input'!$C$35</f>
        <v>#VALUE!</v>
      </c>
      <c r="DR71" s="294" t="e">
        <f t="shared" si="52"/>
        <v>#VALUE!</v>
      </c>
      <c r="DS71" s="290" t="e">
        <f>(DR71/1000000)*('1a. Spredningsmodell input'!$B$49)*'1a. Spredningsmodell input'!$C$35</f>
        <v>#VALUE!</v>
      </c>
      <c r="DT71" s="297" t="e">
        <f>($S71)*EXP(-(Stoff!$N71*365+$U71)*DN71)+DQ71</f>
        <v>#VALUE!</v>
      </c>
      <c r="DU71" s="297" t="e">
        <f>(Stoff!$P71*$S71+DS71)*EXP(-$T71*DN71)</f>
        <v>#VALUE!</v>
      </c>
      <c r="DV71" s="297" t="e">
        <f>(DT71+DU71)*1000000000/('1a. Spredningsmodell input'!$C$36*1000)</f>
        <v>#VALUE!</v>
      </c>
      <c r="DW71" s="297" t="e">
        <f>$G71*(1-EXP(-'1a. Spredningsmodell input'!$B$43*Mellomregninger!DN71))*(1-EXP(-'1a. Spredningsmodell input'!$B$46*Mellomregninger!DN71))</f>
        <v>#VALUE!</v>
      </c>
      <c r="DX71" s="297"/>
      <c r="DY71" s="297"/>
      <c r="DZ71" s="262">
        <f t="shared" si="53"/>
        <v>100</v>
      </c>
      <c r="EA71" s="298" t="e">
        <f>($S71+$Q71*($O71+$I71*($D71*(1-Stoff!$P71))*(1-EXP(-($F71+Stoff!$L71*365)*DZ71)))*(1-EXP(-($N71+Stoff!$M71*365)*DZ71)))</f>
        <v>#VALUE!</v>
      </c>
      <c r="EB71" s="294" t="e">
        <f t="shared" si="54"/>
        <v>#VALUE!</v>
      </c>
      <c r="EC71" s="296" t="e">
        <f>(EB71/1000000)*('1a. Spredningsmodell input'!$B$49)*'1a. Spredningsmodell input'!$C$35</f>
        <v>#VALUE!</v>
      </c>
      <c r="ED71" s="294" t="e">
        <f t="shared" si="55"/>
        <v>#VALUE!</v>
      </c>
      <c r="EE71" s="290" t="e">
        <f>(ED71/1000000)*('1a. Spredningsmodell input'!$B$49)*'1a. Spredningsmodell input'!$C$35</f>
        <v>#VALUE!</v>
      </c>
      <c r="EF71" s="297" t="e">
        <f>($S71)*EXP(-(Stoff!$N71*365+$U71)*DZ71)+EC71</f>
        <v>#VALUE!</v>
      </c>
      <c r="EG71" s="297" t="e">
        <f>(Stoff!$P71*$S71+EE71)*EXP(-$T71*DZ71)</f>
        <v>#VALUE!</v>
      </c>
      <c r="EH71" s="297" t="e">
        <f>(EF71+EG71)*1000000000/('1a. Spredningsmodell input'!$C$36*1000)</f>
        <v>#VALUE!</v>
      </c>
      <c r="EI71" s="297" t="e">
        <f>$G71*(1-EXP(-'1a. Spredningsmodell input'!$B$43*Mellomregninger!DZ71))*(1-EXP(-'1a. Spredningsmodell input'!$B$46*Mellomregninger!DZ71))</f>
        <v>#VALUE!</v>
      </c>
      <c r="EJ71" s="297"/>
      <c r="EK71" s="297"/>
      <c r="EL71" s="262">
        <f t="shared" si="56"/>
        <v>1.0000000000000001E+25</v>
      </c>
      <c r="EM71" s="294" t="e">
        <f>($S71+$Q71*($O71+$I71*($D71*(1-Stoff!$P71))*(1-EXP(-($F71+Stoff!$L71*365)*EL71)))*(1-EXP(-($N71+Stoff!$M71*365)*EL71)))</f>
        <v>#VALUE!</v>
      </c>
      <c r="EN71" s="296" t="e">
        <f>($S71+$Q71*($O71+$I71*($D71*(1-Stoff!$P71))*(1-EXP(-($F71+Stoff!$L71*365)*(EL71-'1a. Spredningsmodell input'!$C$35))))*(1-EXP(-($N71+Stoff!$M71*365)*(EL71-'1a. Spredningsmodell input'!$C$35))))</f>
        <v>#VALUE!</v>
      </c>
      <c r="EO71" s="294" t="e">
        <f>IF(EL71&lt;'1a. Spredningsmodell input'!$C$35,EM71-($S71)*EXP(-(Stoff!$N71*365+$U71)*EL71),EM71-EN71)</f>
        <v>#VALUE!</v>
      </c>
      <c r="EP71" s="290" t="e">
        <f>((($D71*(Stoff!$P71))*(1-EXP(-'1a. Spredningsmodell input'!$B$43*EL71)))*(1-EXP(-'1a. Spredningsmodell input'!$B$46*EL71)))</f>
        <v>#VALUE!</v>
      </c>
      <c r="EQ71" s="294" t="e">
        <f>((($D71*(Stoff!$P71))*(1-EXP(-'1a. Spredningsmodell input'!$B$43*(EL71-'1a. Spredningsmodell input'!$C$35))))*(1-EXP(-'1a. Spredningsmodell input'!$B$46*(EL71-'1a. Spredningsmodell input'!$C$35))))</f>
        <v>#VALUE!</v>
      </c>
      <c r="ER71" s="290" t="e">
        <f>IF(EL71&lt;'1a. Spredningsmodell input'!$C$35,0,EP71-EQ71)</f>
        <v>#VALUE!</v>
      </c>
      <c r="ES71" s="297" t="e">
        <f>($S71)*EXP(-(Stoff!$N71*365+$U71)*EL71)+EO71</f>
        <v>#VALUE!</v>
      </c>
      <c r="ET71" s="297" t="e">
        <f>(Stoff!$P71*$S71+ER71)*EXP(-$T71*EL71)</f>
        <v>#VALUE!</v>
      </c>
      <c r="EU71" s="297" t="e">
        <f>(ES71+ET71)*1000000000/('1a. Spredningsmodell input'!$C$36*1000)</f>
        <v>#VALUE!</v>
      </c>
      <c r="EV71" s="262" t="e">
        <f t="shared" si="57"/>
        <v>#VALUE!</v>
      </c>
      <c r="EW71" s="299" t="e">
        <f t="shared" si="58"/>
        <v>#VALUE!</v>
      </c>
      <c r="EX71" s="262" t="e">
        <f t="shared" si="59"/>
        <v>#VALUE!</v>
      </c>
    </row>
    <row r="72" spans="1:154" x14ac:dyDescent="0.35">
      <c r="A72" s="50" t="s">
        <v>138</v>
      </c>
      <c r="B72" s="34" t="str">
        <f>IF(ISNUMBER('1c. Kons. porevann'!E72),1000*'1c. Kons. porevann'!E72,IF(ISNUMBER('1b. Kons. umettet jord'!E72),1000*'1b. Kons. umettet jord'!E72/C72,""))</f>
        <v/>
      </c>
      <c r="C72" s="244">
        <f>IF(Stoff!B72="uorganisk",Stoff!C72,Stoff!D72*'1a. Spredningsmodell input'!$C$11)</f>
        <v>497.26</v>
      </c>
      <c r="D72" s="34" t="str">
        <f>IF(ISNUMBER(B72),0.000001*('1b. Kons. umettet jord'!G72*'1a. Spredningsmodell input'!$C$12+B72*0.001*'1a. Spredningsmodell input'!$C$14)*1000*'1a. Spredningsmodell input'!$B$41*'1a. Spredningsmodell input'!$C$18,"")</f>
        <v/>
      </c>
      <c r="E72" s="283">
        <f>C72*'1a. Spredningsmodell input'!$C$12/'1a. Spredningsmodell input'!$C$14+1</f>
        <v>4227.71</v>
      </c>
      <c r="F72" s="284">
        <f>'1a. Spredningsmodell input'!$B$43/E72</f>
        <v>3.5480200865243829E-4</v>
      </c>
      <c r="G72" s="34" t="e">
        <f>Stoff!P72*Mellomregninger!D72</f>
        <v>#VALUE!</v>
      </c>
      <c r="H72" s="283" t="e">
        <f>(D72-G72)*(F72/(F72+Stoff!L72))</f>
        <v>#VALUE!</v>
      </c>
      <c r="I72" s="283">
        <f>F72/(F72+Stoff!L72)</f>
        <v>1</v>
      </c>
      <c r="J72" s="285" t="str">
        <f>IF(B72="","",IF(ISNUMBER('1d. Kons. mettet sone'!E72),'1d. Kons. mettet sone'!E72,IF(ISNUMBER('1e. Kons. grunnvann'!E72),'1e. Kons. grunnvann'!E72*Mellomregninger!K72,0)))</f>
        <v/>
      </c>
      <c r="K72" s="286">
        <f>IF(Stoff!B72="uorganisk",Stoff!C72,Stoff!D72*'1a. Spredningsmodell input'!$C$24)</f>
        <v>49.725999999999999</v>
      </c>
      <c r="L72" s="27" t="e">
        <f>IF(ISNUMBER('1e. Kons. grunnvann'!E72),1000*'1e. Kons. grunnvann'!E72,1000*J72/K72)</f>
        <v>#VALUE!</v>
      </c>
      <c r="M72" s="34">
        <f>K72*'1a. Spredningsmodell input'!$C$25/'1a. Spredningsmodell input'!$C$26+1</f>
        <v>212.3355</v>
      </c>
      <c r="N72" s="284">
        <f>'1a. Spredningsmodell input'!$C$26/M72</f>
        <v>1.8838112326954278E-3</v>
      </c>
      <c r="O72" s="287" t="e">
        <f>0.000000001*(J72*'1a. Spredningsmodell input'!$C$25+L72)*1000*'1a. Spredningsmodell input'!$B$45</f>
        <v>#VALUE!</v>
      </c>
      <c r="P72" s="287" t="e">
        <f>O72*Stoff!P72</f>
        <v>#VALUE!</v>
      </c>
      <c r="Q72" s="287">
        <f>N72/(N72+Stoff!M72)</f>
        <v>1</v>
      </c>
      <c r="R72" s="288">
        <f>IF(ISNUMBER('1f. Kons. resipient'!E72),'1f. Kons. resipient'!E72,0)</f>
        <v>0</v>
      </c>
      <c r="S72" s="288">
        <f>0.000000001*'1a. Spredningsmodell input'!$C$36*R72*1000</f>
        <v>0</v>
      </c>
      <c r="T72" s="288">
        <f>1/'1a. Spredningsmodell input'!$C$35</f>
        <v>1</v>
      </c>
      <c r="U72" s="288">
        <f>1/'1a. Spredningsmodell input'!$C$35</f>
        <v>1</v>
      </c>
      <c r="V72" s="300" t="e">
        <f>(1/($N72+Stoff!$L72))*(LN(($D72*$I72/($D72*$I72+$J72))*($F72+Stoff!$L72+$N72+Stoff!$M72)/($N72+Stoff!$M72)))</f>
        <v>#VALUE!</v>
      </c>
      <c r="W72" s="290" t="e">
        <f>($D72-Stoff!$P72*$D72)*EXP(-($F72+Stoff!$L72*365)*V72)</f>
        <v>#VALUE!</v>
      </c>
      <c r="X72" s="291" t="e">
        <f>(Stoff!$P72*$D72)*EXP(-'1a. Spredningsmodell input'!$B$43*V72)</f>
        <v>#VALUE!</v>
      </c>
      <c r="Y72" s="290" t="e">
        <f>($D72-Stoff!$P72*$D72-W72)*($F72/($F72+Stoff!$L72*365))</f>
        <v>#VALUE!</v>
      </c>
      <c r="Z72" s="290" t="e">
        <f>(Stoff!$P72*$D72)-X72</f>
        <v>#VALUE!</v>
      </c>
      <c r="AA72" s="290" t="e">
        <f>($O72+Y72)*EXP(-($N72+Stoff!$M72*365)*V72)</f>
        <v>#VALUE!</v>
      </c>
      <c r="AB72" s="290" t="e">
        <f>(Stoff!$P72*$O72+Z72)*EXP(-('1a. Spredningsmodell input'!$B$46)*V72)</f>
        <v>#VALUE!</v>
      </c>
      <c r="AC72" s="292" t="e">
        <f>((AA72+AB72)*1000000000)/('1a. Spredningsmodell input'!$B$45*1000)</f>
        <v>#VALUE!</v>
      </c>
      <c r="AD72" s="294" t="e">
        <f>0.001*AC72/('1a. Spredningsmodell input'!$C$25+'1a. Spredningsmodell input'!$C$26/Mellomregninger!$K72)</f>
        <v>#VALUE!</v>
      </c>
      <c r="AE72" s="294" t="e">
        <f>1000*AD72/$K72+AB72*1000000000/('1a. Spredningsmodell input'!$B$45*1000)</f>
        <v>#VALUE!</v>
      </c>
      <c r="AF72" s="294" t="e">
        <f t="shared" si="35"/>
        <v>#VALUE!</v>
      </c>
      <c r="AG72" s="294" t="e">
        <f>AB72*1000000000/('1a. Spredningsmodell input'!$B$45*1000)</f>
        <v>#VALUE!</v>
      </c>
      <c r="AH72" s="300" t="e">
        <f>(1/('1a. Spredningsmodell input'!$B$46))*(LN(($D72*Stoff!$P72/($D72*Stoff!$P72+$P72*Stoff!$P72))*('1a. Spredningsmodell input'!$B$43+'1a. Spredningsmodell input'!$B$46)/('1a. Spredningsmodell input'!$B$46)))</f>
        <v>#VALUE!</v>
      </c>
      <c r="AI72" s="290" t="e">
        <f>($D72-Stoff!$P72*$D72)*EXP(-($F72+Stoff!$L72*365)*AH72)</f>
        <v>#VALUE!</v>
      </c>
      <c r="AJ72" s="291" t="e">
        <f>(Stoff!$P72*$D72)*EXP(-'1a. Spredningsmodell input'!$B$43*AH72)</f>
        <v>#VALUE!</v>
      </c>
      <c r="AK72" s="290" t="e">
        <f>($D72-Stoff!$P72*$D72-AI72)*($F72/($F72+Stoff!$L72*365))</f>
        <v>#VALUE!</v>
      </c>
      <c r="AL72" s="290" t="e">
        <f>(Stoff!$P72*$D72)-AJ72</f>
        <v>#VALUE!</v>
      </c>
      <c r="AM72" s="290" t="e">
        <f>($O72+AK72)*EXP(-($N72+Stoff!$M72*365)*AH72)</f>
        <v>#VALUE!</v>
      </c>
      <c r="AN72" s="290" t="e">
        <f>(Stoff!$P72*$O72+AL72)*EXP(-('1a. Spredningsmodell input'!$B$46)*AH72)</f>
        <v>#VALUE!</v>
      </c>
      <c r="AO72" s="292" t="e">
        <f>((AM72+AN72)*1000000000)/('1a. Spredningsmodell input'!$B$45*1000)</f>
        <v>#VALUE!</v>
      </c>
      <c r="AP72" s="294" t="e">
        <f>0.001*AO72/('1a. Spredningsmodell input'!$C$25+'1a. Spredningsmodell input'!$C$26/Mellomregninger!$K72)</f>
        <v>#VALUE!</v>
      </c>
      <c r="AQ72" s="294" t="e">
        <f>1000*AP72/$K72+AN72*1000000000/('1a. Spredningsmodell input'!$B$45*1000)</f>
        <v>#VALUE!</v>
      </c>
      <c r="AR72" s="294" t="e">
        <f t="shared" si="36"/>
        <v>#VALUE!</v>
      </c>
      <c r="AS72" s="294" t="e">
        <f>AN72*1000000000/('1a. Spredningsmodell input'!$B$45*1000)</f>
        <v>#VALUE!</v>
      </c>
      <c r="AT72" s="295">
        <f t="shared" si="37"/>
        <v>5</v>
      </c>
      <c r="AU72" s="290" t="e">
        <f>($D72-Stoff!$P72*$D72)*EXP(-($F72+Stoff!$L72*365)*AT72)</f>
        <v>#VALUE!</v>
      </c>
      <c r="AV72" s="291" t="e">
        <f>(Stoff!$P72*$D72)*EXP(-'1a. Spredningsmodell input'!$B$43*AT72)</f>
        <v>#VALUE!</v>
      </c>
      <c r="AW72" s="290" t="e">
        <f>($D72-Stoff!$P72*$D72-AU72)*($F72/($F72+Stoff!$L72*365))</f>
        <v>#VALUE!</v>
      </c>
      <c r="AX72" s="290" t="e">
        <f>(Stoff!$P72*$D72)-AV72</f>
        <v>#VALUE!</v>
      </c>
      <c r="AY72" s="290" t="e">
        <f>($O72+AW72)*EXP(-($N72+Stoff!$M72*365)*AT72)</f>
        <v>#VALUE!</v>
      </c>
      <c r="AZ72" s="290" t="e">
        <f>(Stoff!$P72*$O72+AX72)*EXP(-('1a. Spredningsmodell input'!$B$46)*AT72)</f>
        <v>#VALUE!</v>
      </c>
      <c r="BA72" s="292" t="e">
        <f>((AY72+AZ72)*1000000000)/('1a. Spredningsmodell input'!$B$45*1000)</f>
        <v>#VALUE!</v>
      </c>
      <c r="BB72" s="294" t="e">
        <f>0.001*BA72/('1a. Spredningsmodell input'!$C$25+'1a. Spredningsmodell input'!$C$26/Mellomregninger!$K72)</f>
        <v>#VALUE!</v>
      </c>
      <c r="BC72" s="294" t="e">
        <f>1000*BB72/$K72+AZ72*1000000000/('1a. Spredningsmodell input'!$B$45*1000)</f>
        <v>#VALUE!</v>
      </c>
      <c r="BD72" s="294" t="e">
        <f t="shared" si="38"/>
        <v>#VALUE!</v>
      </c>
      <c r="BE72" s="294" t="e">
        <f>AZ72*1000000000/('1a. Spredningsmodell input'!$B$45*1000)</f>
        <v>#VALUE!</v>
      </c>
      <c r="BF72" s="295">
        <f t="shared" si="39"/>
        <v>20</v>
      </c>
      <c r="BG72" s="290" t="e">
        <f>($D72-Stoff!$P72*$D72)*EXP(-($F72+Stoff!$L72*365)*BF72)</f>
        <v>#VALUE!</v>
      </c>
      <c r="BH72" s="291" t="e">
        <f>(Stoff!$P72*$D72)*EXP(-'1a. Spredningsmodell input'!$B$43*BF72)</f>
        <v>#VALUE!</v>
      </c>
      <c r="BI72" s="290" t="e">
        <f>($D72-Stoff!$P72*$D72-BG72)*($F72/($F72+Stoff!$L72*365))</f>
        <v>#VALUE!</v>
      </c>
      <c r="BJ72" s="290" t="e">
        <f>(Stoff!$P72*$D72)-BH72</f>
        <v>#VALUE!</v>
      </c>
      <c r="BK72" s="290" t="e">
        <f>($O72+BI72)*EXP(-($N72+Stoff!$M72*365)*BF72)</f>
        <v>#VALUE!</v>
      </c>
      <c r="BL72" s="290" t="e">
        <f>(Stoff!$P72*$O72+BJ72)*EXP(-('1a. Spredningsmodell input'!$B$46)*BF72)</f>
        <v>#VALUE!</v>
      </c>
      <c r="BM72" s="292" t="e">
        <f>((BK72+BL72)*1000000000)/('1a. Spredningsmodell input'!$B$45*1000)</f>
        <v>#VALUE!</v>
      </c>
      <c r="BN72" s="294" t="e">
        <f>0.001*BM72/('1a. Spredningsmodell input'!$C$25+'1a. Spredningsmodell input'!$C$26/Mellomregninger!$K72)</f>
        <v>#VALUE!</v>
      </c>
      <c r="BO72" s="294" t="e">
        <f>1000*BN72/$K72+BL72*1000000000/('1a. Spredningsmodell input'!$B$45*1000)</f>
        <v>#VALUE!</v>
      </c>
      <c r="BP72" s="294" t="e">
        <f t="shared" si="40"/>
        <v>#VALUE!</v>
      </c>
      <c r="BQ72" s="294" t="e">
        <f>BL72*1000000000/('1a. Spredningsmodell input'!$B$45*1000)</f>
        <v>#VALUE!</v>
      </c>
      <c r="BR72" s="295">
        <f t="shared" si="41"/>
        <v>100</v>
      </c>
      <c r="BS72" s="290" t="e">
        <f>($D72-Stoff!$P72*$D72)*EXP(-($F72+Stoff!$L72*365)*BR72)</f>
        <v>#VALUE!</v>
      </c>
      <c r="BT72" s="291" t="e">
        <f>(Stoff!$P72*$D72)*EXP(-'1a. Spredningsmodell input'!$B$43*BR72)</f>
        <v>#VALUE!</v>
      </c>
      <c r="BU72" s="290" t="e">
        <f>($D72-Stoff!$P72*$D72-BS72)*($F72/($F72+Stoff!$L72*365))</f>
        <v>#VALUE!</v>
      </c>
      <c r="BV72" s="290" t="e">
        <f>(Stoff!$P72*$D72)-BT72</f>
        <v>#VALUE!</v>
      </c>
      <c r="BW72" s="290" t="e">
        <f>($O72+BU72)*EXP(-($N72+Stoff!$M72*365)*BR72)</f>
        <v>#VALUE!</v>
      </c>
      <c r="BX72" s="290" t="e">
        <f>(Stoff!$P72*$O72+BV72)*EXP(-('1a. Spredningsmodell input'!$B$46)*BR72)</f>
        <v>#VALUE!</v>
      </c>
      <c r="BY72" s="292" t="e">
        <f>((BW72+BX72)*1000000000)/('1a. Spredningsmodell input'!$B$45*1000)</f>
        <v>#VALUE!</v>
      </c>
      <c r="BZ72" s="294" t="e">
        <f>0.001*BY72/('1a. Spredningsmodell input'!$C$25+'1a. Spredningsmodell input'!$C$26/Mellomregninger!$K72)</f>
        <v>#VALUE!</v>
      </c>
      <c r="CA72" s="294" t="e">
        <f>1000*BZ72/$K72+BX72*1000000000/('1a. Spredningsmodell input'!$B$45*1000)</f>
        <v>#VALUE!</v>
      </c>
      <c r="CB72" s="294" t="e">
        <f t="shared" si="42"/>
        <v>#VALUE!</v>
      </c>
      <c r="CC72" s="294" t="e">
        <f>BX72*1000000000/('1a. Spredningsmodell input'!$B$45*1000)</f>
        <v>#VALUE!</v>
      </c>
      <c r="CD72" s="294" t="e">
        <f>V72+'1a. Spredningsmodell input'!$C$35</f>
        <v>#VALUE!</v>
      </c>
      <c r="CE72" s="294" t="e">
        <f>($S72+$Q72*($O72+$I72*($D72*(1-Stoff!$P72))*(1-EXP(-($F72+Stoff!$L72*365)*CD72)))*(1-EXP(-($N72+Stoff!$M72*365)*CD72)))</f>
        <v>#VALUE!</v>
      </c>
      <c r="CF72" s="294" t="e">
        <f t="shared" si="43"/>
        <v>#VALUE!</v>
      </c>
      <c r="CG72" s="296" t="e">
        <f>(CF72/1000000)*'1a. Spredningsmodell input'!$B$49*'1a. Spredningsmodell input'!$C$35</f>
        <v>#VALUE!</v>
      </c>
      <c r="CH72" s="294" t="e">
        <f t="shared" si="44"/>
        <v>#VALUE!</v>
      </c>
      <c r="CI72" s="290" t="e">
        <f>(CH72/1000000)*'1a. Spredningsmodell input'!$B$49*'1a. Spredningsmodell input'!$C$35</f>
        <v>#VALUE!</v>
      </c>
      <c r="CJ72" s="297" t="e">
        <f>($S72)*EXP(-(Stoff!$N72*365+$U72)*CD72)+CG72</f>
        <v>#VALUE!</v>
      </c>
      <c r="CK72" s="297" t="e">
        <f>(Stoff!$P72*$S72+CI72)*EXP(-$T72*CD72)</f>
        <v>#VALUE!</v>
      </c>
      <c r="CL72" s="297" t="e">
        <f>(CJ72+CK72)*1000000000/('1a. Spredningsmodell input'!$C$36*1000)</f>
        <v>#VALUE!</v>
      </c>
      <c r="CM72" s="297" t="e">
        <f>$G72*(1-EXP(-'1a. Spredningsmodell input'!$B$43*Mellomregninger!CD72))*(1-EXP(-'1a. Spredningsmodell input'!$B$46*Mellomregninger!CD72))</f>
        <v>#VALUE!</v>
      </c>
      <c r="CN72" s="297"/>
      <c r="CO72" s="297"/>
      <c r="CP72" s="290">
        <f>IF(ISNUMBER(AH72),AH72+'1a. Spredningsmodell input'!$C$35,'1a. Spredningsmodell input'!$C$35)</f>
        <v>1</v>
      </c>
      <c r="CQ72" s="294" t="e">
        <f>($S72+$Q72*($O72+$I72*($D72*(1-Stoff!$P72))*(1-EXP(-($F72+Stoff!$L72*365)*CP72)))*(1-EXP(-($N72+Stoff!$M72*365)*CP72)))</f>
        <v>#VALUE!</v>
      </c>
      <c r="CR72" s="294" t="e">
        <f t="shared" si="45"/>
        <v>#VALUE!</v>
      </c>
      <c r="CS72" s="296" t="e">
        <f>(CR72/1000000)*('1a. Spredningsmodell input'!$B$49*'1a. Spredningsmodell input'!$C$35)</f>
        <v>#VALUE!</v>
      </c>
      <c r="CT72" s="294" t="e">
        <f t="shared" si="46"/>
        <v>#VALUE!</v>
      </c>
      <c r="CU72" s="290" t="e">
        <f>(CT72/1000000)*('1a. Spredningsmodell input'!$B$49)*'1a. Spredningsmodell input'!$C$35</f>
        <v>#VALUE!</v>
      </c>
      <c r="CV72" s="297" t="e">
        <f>($S72)*EXP(-(Stoff!$N72*365+$U72)*CP72)+CS72</f>
        <v>#VALUE!</v>
      </c>
      <c r="CW72" s="297" t="e">
        <f>(Stoff!$P72*$S72+CU72)*EXP(-$T72*CP72)</f>
        <v>#VALUE!</v>
      </c>
      <c r="CX72" s="297">
        <f>IF(ISERROR(CV72),0,(CV72+CW72)*1000000000/('1a. Spredningsmodell input'!$C$36*1000))</f>
        <v>0</v>
      </c>
      <c r="CY72" s="297" t="e">
        <f>$G72*(1-EXP(-'1a. Spredningsmodell input'!$B$43*Mellomregninger!CP72))*(1-EXP(-'1a. Spredningsmodell input'!$B$46*Mellomregninger!CP72))</f>
        <v>#VALUE!</v>
      </c>
      <c r="CZ72" s="297"/>
      <c r="DA72" s="297"/>
      <c r="DB72" s="262">
        <f t="shared" si="47"/>
        <v>5</v>
      </c>
      <c r="DC72" s="298" t="e">
        <f>($S72+$Q72*($O72+$I72*($D72*(1-Stoff!$P72))*(1-EXP(-($F72+Stoff!$L72*365)*DB72)))*(1-EXP(-($N72+Stoff!$M72*365)*DB72)))</f>
        <v>#VALUE!</v>
      </c>
      <c r="DD72" s="294" t="e">
        <f t="shared" si="48"/>
        <v>#VALUE!</v>
      </c>
      <c r="DE72" s="296" t="e">
        <f>(DD72/1000000)*('1a. Spredningsmodell input'!$B$49)*'1a. Spredningsmodell input'!$C$35</f>
        <v>#VALUE!</v>
      </c>
      <c r="DF72" s="294" t="e">
        <f t="shared" si="49"/>
        <v>#VALUE!</v>
      </c>
      <c r="DG72" s="290" t="e">
        <f>(DF72/1000000)*('1a. Spredningsmodell input'!$B$49)*'1a. Spredningsmodell input'!$C$35</f>
        <v>#VALUE!</v>
      </c>
      <c r="DH72" s="297" t="e">
        <f>($S72)*EXP(-(Stoff!$N72*365+$U72)*DB72)+DE72</f>
        <v>#VALUE!</v>
      </c>
      <c r="DI72" s="297" t="e">
        <f>(Stoff!$P72*$S72+DG72)*EXP(-$T72*DB72)</f>
        <v>#VALUE!</v>
      </c>
      <c r="DJ72" s="297" t="e">
        <f>(DH72+DI72)*1000000000/('1a. Spredningsmodell input'!$C$36*1000)</f>
        <v>#VALUE!</v>
      </c>
      <c r="DK72" s="297" t="e">
        <f>$G72*(1-EXP(-'1a. Spredningsmodell input'!$B$43*Mellomregninger!DB72))*(1-EXP(-'1a. Spredningsmodell input'!$B$46*Mellomregninger!DB72))</f>
        <v>#VALUE!</v>
      </c>
      <c r="DL72" s="297"/>
      <c r="DM72" s="297"/>
      <c r="DN72" s="262">
        <f t="shared" si="50"/>
        <v>20</v>
      </c>
      <c r="DO72" s="298" t="e">
        <f>($S72+$Q72*($O72+$I72*($D72*(1-Stoff!$P72))*(1-EXP(-($F72+Stoff!$L72*365)*DN72)))*(1-EXP(-($N72+Stoff!$M72*365)*DN72)))</f>
        <v>#VALUE!</v>
      </c>
      <c r="DP72" s="294" t="e">
        <f t="shared" si="51"/>
        <v>#VALUE!</v>
      </c>
      <c r="DQ72" s="296" t="e">
        <f>(DP72/1000000)*('1a. Spredningsmodell input'!$B$49)*'1a. Spredningsmodell input'!$C$35</f>
        <v>#VALUE!</v>
      </c>
      <c r="DR72" s="294" t="e">
        <f t="shared" si="52"/>
        <v>#VALUE!</v>
      </c>
      <c r="DS72" s="290" t="e">
        <f>(DR72/1000000)*('1a. Spredningsmodell input'!$B$49)*'1a. Spredningsmodell input'!$C$35</f>
        <v>#VALUE!</v>
      </c>
      <c r="DT72" s="297" t="e">
        <f>($S72)*EXP(-(Stoff!$N72*365+$U72)*DN72)+DQ72</f>
        <v>#VALUE!</v>
      </c>
      <c r="DU72" s="297" t="e">
        <f>(Stoff!$P72*$S72+DS72)*EXP(-$T72*DN72)</f>
        <v>#VALUE!</v>
      </c>
      <c r="DV72" s="297" t="e">
        <f>(DT72+DU72)*1000000000/('1a. Spredningsmodell input'!$C$36*1000)</f>
        <v>#VALUE!</v>
      </c>
      <c r="DW72" s="297" t="e">
        <f>$G72*(1-EXP(-'1a. Spredningsmodell input'!$B$43*Mellomregninger!DN72))*(1-EXP(-'1a. Spredningsmodell input'!$B$46*Mellomregninger!DN72))</f>
        <v>#VALUE!</v>
      </c>
      <c r="DX72" s="297"/>
      <c r="DY72" s="297"/>
      <c r="DZ72" s="262">
        <f t="shared" si="53"/>
        <v>100</v>
      </c>
      <c r="EA72" s="298" t="e">
        <f>($S72+$Q72*($O72+$I72*($D72*(1-Stoff!$P72))*(1-EXP(-($F72+Stoff!$L72*365)*DZ72)))*(1-EXP(-($N72+Stoff!$M72*365)*DZ72)))</f>
        <v>#VALUE!</v>
      </c>
      <c r="EB72" s="294" t="e">
        <f t="shared" si="54"/>
        <v>#VALUE!</v>
      </c>
      <c r="EC72" s="296" t="e">
        <f>(EB72/1000000)*('1a. Spredningsmodell input'!$B$49)*'1a. Spredningsmodell input'!$C$35</f>
        <v>#VALUE!</v>
      </c>
      <c r="ED72" s="294" t="e">
        <f t="shared" si="55"/>
        <v>#VALUE!</v>
      </c>
      <c r="EE72" s="290" t="e">
        <f>(ED72/1000000)*('1a. Spredningsmodell input'!$B$49)*'1a. Spredningsmodell input'!$C$35</f>
        <v>#VALUE!</v>
      </c>
      <c r="EF72" s="297" t="e">
        <f>($S72)*EXP(-(Stoff!$N72*365+$U72)*DZ72)+EC72</f>
        <v>#VALUE!</v>
      </c>
      <c r="EG72" s="297" t="e">
        <f>(Stoff!$P72*$S72+EE72)*EXP(-$T72*DZ72)</f>
        <v>#VALUE!</v>
      </c>
      <c r="EH72" s="297" t="e">
        <f>(EF72+EG72)*1000000000/('1a. Spredningsmodell input'!$C$36*1000)</f>
        <v>#VALUE!</v>
      </c>
      <c r="EI72" s="297" t="e">
        <f>$G72*(1-EXP(-'1a. Spredningsmodell input'!$B$43*Mellomregninger!DZ72))*(1-EXP(-'1a. Spredningsmodell input'!$B$46*Mellomregninger!DZ72))</f>
        <v>#VALUE!</v>
      </c>
      <c r="EJ72" s="297"/>
      <c r="EK72" s="297"/>
      <c r="EL72" s="262">
        <f t="shared" si="56"/>
        <v>1.0000000000000001E+25</v>
      </c>
      <c r="EM72" s="294" t="e">
        <f>($S72+$Q72*($O72+$I72*($D72*(1-Stoff!$P72))*(1-EXP(-($F72+Stoff!$L72*365)*EL72)))*(1-EXP(-($N72+Stoff!$M72*365)*EL72)))</f>
        <v>#VALUE!</v>
      </c>
      <c r="EN72" s="296" t="e">
        <f>($S72+$Q72*($O72+$I72*($D72*(1-Stoff!$P72))*(1-EXP(-($F72+Stoff!$L72*365)*(EL72-'1a. Spredningsmodell input'!$C$35))))*(1-EXP(-($N72+Stoff!$M72*365)*(EL72-'1a. Spredningsmodell input'!$C$35))))</f>
        <v>#VALUE!</v>
      </c>
      <c r="EO72" s="294" t="e">
        <f>IF(EL72&lt;'1a. Spredningsmodell input'!$C$35,EM72-($S72)*EXP(-(Stoff!$N72*365+$U72)*EL72),EM72-EN72)</f>
        <v>#VALUE!</v>
      </c>
      <c r="EP72" s="290" t="e">
        <f>((($D72*(Stoff!$P72))*(1-EXP(-'1a. Spredningsmodell input'!$B$43*EL72)))*(1-EXP(-'1a. Spredningsmodell input'!$B$46*EL72)))</f>
        <v>#VALUE!</v>
      </c>
      <c r="EQ72" s="294" t="e">
        <f>((($D72*(Stoff!$P72))*(1-EXP(-'1a. Spredningsmodell input'!$B$43*(EL72-'1a. Spredningsmodell input'!$C$35))))*(1-EXP(-'1a. Spredningsmodell input'!$B$46*(EL72-'1a. Spredningsmodell input'!$C$35))))</f>
        <v>#VALUE!</v>
      </c>
      <c r="ER72" s="290" t="e">
        <f>IF(EL72&lt;'1a. Spredningsmodell input'!$C$35,0,EP72-EQ72)</f>
        <v>#VALUE!</v>
      </c>
      <c r="ES72" s="297" t="e">
        <f>($S72)*EXP(-(Stoff!$N72*365+$U72)*EL72)+EO72</f>
        <v>#VALUE!</v>
      </c>
      <c r="ET72" s="297" t="e">
        <f>(Stoff!$P72*$S72+ER72)*EXP(-$T72*EL72)</f>
        <v>#VALUE!</v>
      </c>
      <c r="EU72" s="297" t="e">
        <f>(ES72+ET72)*1000000000/('1a. Spredningsmodell input'!$C$36*1000)</f>
        <v>#VALUE!</v>
      </c>
      <c r="EV72" s="262" t="e">
        <f t="shared" si="57"/>
        <v>#VALUE!</v>
      </c>
      <c r="EW72" s="299" t="e">
        <f t="shared" si="58"/>
        <v>#VALUE!</v>
      </c>
      <c r="EX72" s="262" t="e">
        <f t="shared" si="59"/>
        <v>#VALUE!</v>
      </c>
    </row>
    <row r="73" spans="1:154" x14ac:dyDescent="0.35">
      <c r="A73" s="50" t="s">
        <v>136</v>
      </c>
      <c r="B73" s="34" t="str">
        <f>IF(ISNUMBER('1c. Kons. porevann'!E73),1000*'1c. Kons. porevann'!E73,IF(ISNUMBER('1b. Kons. umettet jord'!E73),1000*'1b. Kons. umettet jord'!E73/C73,""))</f>
        <v/>
      </c>
      <c r="C73" s="244">
        <f>IF(Stoff!B73="uorganisk",Stoff!C73,Stoff!D73*'1a. Spredningsmodell input'!$C$11)</f>
        <v>7.15</v>
      </c>
      <c r="D73" s="34" t="str">
        <f>IF(ISNUMBER(B73),0.000001*('1b. Kons. umettet jord'!G73*'1a. Spredningsmodell input'!$C$12+B73*0.001*'1a. Spredningsmodell input'!$C$14)*1000*'1a. Spredningsmodell input'!$B$41*'1a. Spredningsmodell input'!$C$18,"")</f>
        <v/>
      </c>
      <c r="E73" s="283">
        <f>C73*'1a. Spredningsmodell input'!$C$12/'1a. Spredningsmodell input'!$C$14+1</f>
        <v>61.775000000000006</v>
      </c>
      <c r="F73" s="284">
        <f>'1a. Spredningsmodell input'!$B$43/E73</f>
        <v>2.4281667341157422E-2</v>
      </c>
      <c r="G73" s="34" t="e">
        <f>Stoff!P73*Mellomregninger!D73</f>
        <v>#VALUE!</v>
      </c>
      <c r="H73" s="283" t="e">
        <f>(D73-G73)*(F73/(F73+Stoff!L73))</f>
        <v>#VALUE!</v>
      </c>
      <c r="I73" s="283">
        <f>F73/(F73+Stoff!L73)</f>
        <v>1</v>
      </c>
      <c r="J73" s="285" t="str">
        <f>IF(B73="","",IF(ISNUMBER('1d. Kons. mettet sone'!E73),'1d. Kons. mettet sone'!E73,IF(ISNUMBER('1e. Kons. grunnvann'!E73),'1e. Kons. grunnvann'!E73*Mellomregninger!K73,0)))</f>
        <v/>
      </c>
      <c r="K73" s="286">
        <f>IF(Stoff!B73="uorganisk",Stoff!C73,Stoff!D73*'1a. Spredningsmodell input'!$C$24)</f>
        <v>0.71499999999999997</v>
      </c>
      <c r="L73" s="27" t="e">
        <f>IF(ISNUMBER('1e. Kons. grunnvann'!E73),1000*'1e. Kons. grunnvann'!E73,1000*J73/K73)</f>
        <v>#VALUE!</v>
      </c>
      <c r="M73" s="34">
        <f>K73*'1a. Spredningsmodell input'!$C$25/'1a. Spredningsmodell input'!$C$26+1</f>
        <v>4.0387500000000003</v>
      </c>
      <c r="N73" s="284">
        <f>'1a. Spredningsmodell input'!$C$26/M73</f>
        <v>9.9040544722995977E-2</v>
      </c>
      <c r="O73" s="287" t="e">
        <f>0.000000001*(J73*'1a. Spredningsmodell input'!$C$25+L73)*1000*'1a. Spredningsmodell input'!$B$45</f>
        <v>#VALUE!</v>
      </c>
      <c r="P73" s="287" t="e">
        <f>O73*Stoff!P73</f>
        <v>#VALUE!</v>
      </c>
      <c r="Q73" s="287">
        <f>N73/(N73+Stoff!M73)</f>
        <v>1</v>
      </c>
      <c r="R73" s="288">
        <f>IF(ISNUMBER('1f. Kons. resipient'!E73),'1f. Kons. resipient'!E73,0)</f>
        <v>0</v>
      </c>
      <c r="S73" s="288">
        <f>0.000000001*'1a. Spredningsmodell input'!$C$36*R73*1000</f>
        <v>0</v>
      </c>
      <c r="T73" s="288">
        <f>1/'1a. Spredningsmodell input'!$C$35</f>
        <v>1</v>
      </c>
      <c r="U73" s="288">
        <f>1/'1a. Spredningsmodell input'!$C$35</f>
        <v>1</v>
      </c>
      <c r="V73" s="300" t="e">
        <f>(1/($N73+Stoff!$L73))*(LN(($D73*$I73/($D73*$I73+$J73))*($F73+Stoff!$L73+$N73+Stoff!$M73)/($N73+Stoff!$M73)))</f>
        <v>#VALUE!</v>
      </c>
      <c r="W73" s="290" t="e">
        <f>($D73-Stoff!$P73*$D73)*EXP(-($F73+Stoff!$L73*365)*V73)</f>
        <v>#VALUE!</v>
      </c>
      <c r="X73" s="291" t="e">
        <f>(Stoff!$P73*$D73)*EXP(-'1a. Spredningsmodell input'!$B$43*V73)</f>
        <v>#VALUE!</v>
      </c>
      <c r="Y73" s="290" t="e">
        <f>($D73-Stoff!$P73*$D73-W73)*($F73/($F73+Stoff!$L73*365))</f>
        <v>#VALUE!</v>
      </c>
      <c r="Z73" s="290" t="e">
        <f>(Stoff!$P73*$D73)-X73</f>
        <v>#VALUE!</v>
      </c>
      <c r="AA73" s="290" t="e">
        <f>($O73+Y73)*EXP(-($N73+Stoff!$M73*365)*V73)</f>
        <v>#VALUE!</v>
      </c>
      <c r="AB73" s="290" t="e">
        <f>(Stoff!$P73*$O73+Z73)*EXP(-('1a. Spredningsmodell input'!$B$46)*V73)</f>
        <v>#VALUE!</v>
      </c>
      <c r="AC73" s="292" t="e">
        <f>((AA73+AB73)*1000000000)/('1a. Spredningsmodell input'!$B$45*1000)</f>
        <v>#VALUE!</v>
      </c>
      <c r="AD73" s="294" t="e">
        <f>0.001*AC73/('1a. Spredningsmodell input'!$C$25+'1a. Spredningsmodell input'!$C$26/Mellomregninger!$K73)</f>
        <v>#VALUE!</v>
      </c>
      <c r="AE73" s="294" t="e">
        <f>1000*AD73/$K73+AB73*1000000000/('1a. Spredningsmodell input'!$B$45*1000)</f>
        <v>#VALUE!</v>
      </c>
      <c r="AF73" s="294" t="e">
        <f t="shared" si="35"/>
        <v>#VALUE!</v>
      </c>
      <c r="AG73" s="294" t="e">
        <f>AB73*1000000000/('1a. Spredningsmodell input'!$B$45*1000)</f>
        <v>#VALUE!</v>
      </c>
      <c r="AH73" s="300" t="e">
        <f>(1/('1a. Spredningsmodell input'!$B$46))*(LN(($D73*Stoff!$P73/($D73*Stoff!$P73+$P73*Stoff!$P73))*('1a. Spredningsmodell input'!$B$43+'1a. Spredningsmodell input'!$B$46)/('1a. Spredningsmodell input'!$B$46)))</f>
        <v>#VALUE!</v>
      </c>
      <c r="AI73" s="290" t="e">
        <f>($D73-Stoff!$P73*$D73)*EXP(-($F73+Stoff!$L73*365)*AH73)</f>
        <v>#VALUE!</v>
      </c>
      <c r="AJ73" s="291" t="e">
        <f>(Stoff!$P73*$D73)*EXP(-'1a. Spredningsmodell input'!$B$43*AH73)</f>
        <v>#VALUE!</v>
      </c>
      <c r="AK73" s="290" t="e">
        <f>($D73-Stoff!$P73*$D73-AI73)*($F73/($F73+Stoff!$L73*365))</f>
        <v>#VALUE!</v>
      </c>
      <c r="AL73" s="290" t="e">
        <f>(Stoff!$P73*$D73)-AJ73</f>
        <v>#VALUE!</v>
      </c>
      <c r="AM73" s="290" t="e">
        <f>($O73+AK73)*EXP(-($N73+Stoff!$M73*365)*AH73)</f>
        <v>#VALUE!</v>
      </c>
      <c r="AN73" s="290" t="e">
        <f>(Stoff!$P73*$O73+AL73)*EXP(-('1a. Spredningsmodell input'!$B$46)*AH73)</f>
        <v>#VALUE!</v>
      </c>
      <c r="AO73" s="292" t="e">
        <f>((AM73+AN73)*1000000000)/('1a. Spredningsmodell input'!$B$45*1000)</f>
        <v>#VALUE!</v>
      </c>
      <c r="AP73" s="294" t="e">
        <f>0.001*AO73/('1a. Spredningsmodell input'!$C$25+'1a. Spredningsmodell input'!$C$26/Mellomregninger!$K73)</f>
        <v>#VALUE!</v>
      </c>
      <c r="AQ73" s="294" t="e">
        <f>1000*AP73/$K73+AN73*1000000000/('1a. Spredningsmodell input'!$B$45*1000)</f>
        <v>#VALUE!</v>
      </c>
      <c r="AR73" s="294" t="e">
        <f t="shared" si="36"/>
        <v>#VALUE!</v>
      </c>
      <c r="AS73" s="294" t="e">
        <f>AN73*1000000000/('1a. Spredningsmodell input'!$B$45*1000)</f>
        <v>#VALUE!</v>
      </c>
      <c r="AT73" s="295">
        <f t="shared" si="37"/>
        <v>5</v>
      </c>
      <c r="AU73" s="290" t="e">
        <f>($D73-Stoff!$P73*$D73)*EXP(-($F73+Stoff!$L73*365)*AT73)</f>
        <v>#VALUE!</v>
      </c>
      <c r="AV73" s="291" t="e">
        <f>(Stoff!$P73*$D73)*EXP(-'1a. Spredningsmodell input'!$B$43*AT73)</f>
        <v>#VALUE!</v>
      </c>
      <c r="AW73" s="290" t="e">
        <f>($D73-Stoff!$P73*$D73-AU73)*($F73/($F73+Stoff!$L73*365))</f>
        <v>#VALUE!</v>
      </c>
      <c r="AX73" s="290" t="e">
        <f>(Stoff!$P73*$D73)-AV73</f>
        <v>#VALUE!</v>
      </c>
      <c r="AY73" s="290" t="e">
        <f>($O73+AW73)*EXP(-($N73+Stoff!$M73*365)*AT73)</f>
        <v>#VALUE!</v>
      </c>
      <c r="AZ73" s="290" t="e">
        <f>(Stoff!$P73*$O73+AX73)*EXP(-('1a. Spredningsmodell input'!$B$46)*AT73)</f>
        <v>#VALUE!</v>
      </c>
      <c r="BA73" s="292" t="e">
        <f>((AY73+AZ73)*1000000000)/('1a. Spredningsmodell input'!$B$45*1000)</f>
        <v>#VALUE!</v>
      </c>
      <c r="BB73" s="294" t="e">
        <f>0.001*BA73/('1a. Spredningsmodell input'!$C$25+'1a. Spredningsmodell input'!$C$26/Mellomregninger!$K73)</f>
        <v>#VALUE!</v>
      </c>
      <c r="BC73" s="294" t="e">
        <f>1000*BB73/$K73+AZ73*1000000000/('1a. Spredningsmodell input'!$B$45*1000)</f>
        <v>#VALUE!</v>
      </c>
      <c r="BD73" s="294" t="e">
        <f t="shared" si="38"/>
        <v>#VALUE!</v>
      </c>
      <c r="BE73" s="294" t="e">
        <f>AZ73*1000000000/('1a. Spredningsmodell input'!$B$45*1000)</f>
        <v>#VALUE!</v>
      </c>
      <c r="BF73" s="295">
        <f t="shared" si="39"/>
        <v>20</v>
      </c>
      <c r="BG73" s="290" t="e">
        <f>($D73-Stoff!$P73*$D73)*EXP(-($F73+Stoff!$L73*365)*BF73)</f>
        <v>#VALUE!</v>
      </c>
      <c r="BH73" s="291" t="e">
        <f>(Stoff!$P73*$D73)*EXP(-'1a. Spredningsmodell input'!$B$43*BF73)</f>
        <v>#VALUE!</v>
      </c>
      <c r="BI73" s="290" t="e">
        <f>($D73-Stoff!$P73*$D73-BG73)*($F73/($F73+Stoff!$L73*365))</f>
        <v>#VALUE!</v>
      </c>
      <c r="BJ73" s="290" t="e">
        <f>(Stoff!$P73*$D73)-BH73</f>
        <v>#VALUE!</v>
      </c>
      <c r="BK73" s="290" t="e">
        <f>($O73+BI73)*EXP(-($N73+Stoff!$M73*365)*BF73)</f>
        <v>#VALUE!</v>
      </c>
      <c r="BL73" s="290" t="e">
        <f>(Stoff!$P73*$O73+BJ73)*EXP(-('1a. Spredningsmodell input'!$B$46)*BF73)</f>
        <v>#VALUE!</v>
      </c>
      <c r="BM73" s="292" t="e">
        <f>((BK73+BL73)*1000000000)/('1a. Spredningsmodell input'!$B$45*1000)</f>
        <v>#VALUE!</v>
      </c>
      <c r="BN73" s="294" t="e">
        <f>0.001*BM73/('1a. Spredningsmodell input'!$C$25+'1a. Spredningsmodell input'!$C$26/Mellomregninger!$K73)</f>
        <v>#VALUE!</v>
      </c>
      <c r="BO73" s="294" t="e">
        <f>1000*BN73/$K73+BL73*1000000000/('1a. Spredningsmodell input'!$B$45*1000)</f>
        <v>#VALUE!</v>
      </c>
      <c r="BP73" s="294" t="e">
        <f t="shared" si="40"/>
        <v>#VALUE!</v>
      </c>
      <c r="BQ73" s="294" t="e">
        <f>BL73*1000000000/('1a. Spredningsmodell input'!$B$45*1000)</f>
        <v>#VALUE!</v>
      </c>
      <c r="BR73" s="295">
        <f t="shared" si="41"/>
        <v>100</v>
      </c>
      <c r="BS73" s="290" t="e">
        <f>($D73-Stoff!$P73*$D73)*EXP(-($F73+Stoff!$L73*365)*BR73)</f>
        <v>#VALUE!</v>
      </c>
      <c r="BT73" s="291" t="e">
        <f>(Stoff!$P73*$D73)*EXP(-'1a. Spredningsmodell input'!$B$43*BR73)</f>
        <v>#VALUE!</v>
      </c>
      <c r="BU73" s="290" t="e">
        <f>($D73-Stoff!$P73*$D73-BS73)*($F73/($F73+Stoff!$L73*365))</f>
        <v>#VALUE!</v>
      </c>
      <c r="BV73" s="290" t="e">
        <f>(Stoff!$P73*$D73)-BT73</f>
        <v>#VALUE!</v>
      </c>
      <c r="BW73" s="290" t="e">
        <f>($O73+BU73)*EXP(-($N73+Stoff!$M73*365)*BR73)</f>
        <v>#VALUE!</v>
      </c>
      <c r="BX73" s="290" t="e">
        <f>(Stoff!$P73*$O73+BV73)*EXP(-('1a. Spredningsmodell input'!$B$46)*BR73)</f>
        <v>#VALUE!</v>
      </c>
      <c r="BY73" s="292" t="e">
        <f>((BW73+BX73)*1000000000)/('1a. Spredningsmodell input'!$B$45*1000)</f>
        <v>#VALUE!</v>
      </c>
      <c r="BZ73" s="294" t="e">
        <f>0.001*BY73/('1a. Spredningsmodell input'!$C$25+'1a. Spredningsmodell input'!$C$26/Mellomregninger!$K73)</f>
        <v>#VALUE!</v>
      </c>
      <c r="CA73" s="294" t="e">
        <f>1000*BZ73/$K73+BX73*1000000000/('1a. Spredningsmodell input'!$B$45*1000)</f>
        <v>#VALUE!</v>
      </c>
      <c r="CB73" s="294" t="e">
        <f t="shared" si="42"/>
        <v>#VALUE!</v>
      </c>
      <c r="CC73" s="294" t="e">
        <f>BX73*1000000000/('1a. Spredningsmodell input'!$B$45*1000)</f>
        <v>#VALUE!</v>
      </c>
      <c r="CD73" s="294" t="e">
        <f>V73+'1a. Spredningsmodell input'!$C$35</f>
        <v>#VALUE!</v>
      </c>
      <c r="CE73" s="294" t="e">
        <f>($S73+$Q73*($O73+$I73*($D73*(1-Stoff!$P73))*(1-EXP(-($F73+Stoff!$L73*365)*CD73)))*(1-EXP(-($N73+Stoff!$M73*365)*CD73)))</f>
        <v>#VALUE!</v>
      </c>
      <c r="CF73" s="294" t="e">
        <f t="shared" si="43"/>
        <v>#VALUE!</v>
      </c>
      <c r="CG73" s="296" t="e">
        <f>(CF73/1000000)*'1a. Spredningsmodell input'!$B$49*'1a. Spredningsmodell input'!$C$35</f>
        <v>#VALUE!</v>
      </c>
      <c r="CH73" s="294" t="e">
        <f t="shared" si="44"/>
        <v>#VALUE!</v>
      </c>
      <c r="CI73" s="290" t="e">
        <f>(CH73/1000000)*'1a. Spredningsmodell input'!$B$49*'1a. Spredningsmodell input'!$C$35</f>
        <v>#VALUE!</v>
      </c>
      <c r="CJ73" s="297" t="e">
        <f>($S73)*EXP(-(Stoff!$N73*365+$U73)*CD73)+CG73</f>
        <v>#VALUE!</v>
      </c>
      <c r="CK73" s="297" t="e">
        <f>(Stoff!$P73*$S73+CI73)*EXP(-$T73*CD73)</f>
        <v>#VALUE!</v>
      </c>
      <c r="CL73" s="297" t="e">
        <f>(CJ73+CK73)*1000000000/('1a. Spredningsmodell input'!$C$36*1000)</f>
        <v>#VALUE!</v>
      </c>
      <c r="CM73" s="297" t="e">
        <f>$G73*(1-EXP(-'1a. Spredningsmodell input'!$B$43*Mellomregninger!CD73))*(1-EXP(-'1a. Spredningsmodell input'!$B$46*Mellomregninger!CD73))</f>
        <v>#VALUE!</v>
      </c>
      <c r="CN73" s="297"/>
      <c r="CO73" s="297"/>
      <c r="CP73" s="290">
        <f>IF(ISNUMBER(AH73),AH73+'1a. Spredningsmodell input'!$C$35,'1a. Spredningsmodell input'!$C$35)</f>
        <v>1</v>
      </c>
      <c r="CQ73" s="294" t="e">
        <f>($S73+$Q73*($O73+$I73*($D73*(1-Stoff!$P73))*(1-EXP(-($F73+Stoff!$L73*365)*CP73)))*(1-EXP(-($N73+Stoff!$M73*365)*CP73)))</f>
        <v>#VALUE!</v>
      </c>
      <c r="CR73" s="294" t="e">
        <f t="shared" si="45"/>
        <v>#VALUE!</v>
      </c>
      <c r="CS73" s="296" t="e">
        <f>(CR73/1000000)*('1a. Spredningsmodell input'!$B$49*'1a. Spredningsmodell input'!$C$35)</f>
        <v>#VALUE!</v>
      </c>
      <c r="CT73" s="294" t="e">
        <f t="shared" si="46"/>
        <v>#VALUE!</v>
      </c>
      <c r="CU73" s="290" t="e">
        <f>(CT73/1000000)*('1a. Spredningsmodell input'!$B$49)*'1a. Spredningsmodell input'!$C$35</f>
        <v>#VALUE!</v>
      </c>
      <c r="CV73" s="297" t="e">
        <f>($S73)*EXP(-(Stoff!$N73*365+$U73)*CP73)+CS73</f>
        <v>#VALUE!</v>
      </c>
      <c r="CW73" s="297" t="e">
        <f>(Stoff!$P73*$S73+CU73)*EXP(-$T73*CP73)</f>
        <v>#VALUE!</v>
      </c>
      <c r="CX73" s="297">
        <f>IF(ISERROR(CV73),0,(CV73+CW73)*1000000000/('1a. Spredningsmodell input'!$C$36*1000))</f>
        <v>0</v>
      </c>
      <c r="CY73" s="297" t="e">
        <f>$G73*(1-EXP(-'1a. Spredningsmodell input'!$B$43*Mellomregninger!CP73))*(1-EXP(-'1a. Spredningsmodell input'!$B$46*Mellomregninger!CP73))</f>
        <v>#VALUE!</v>
      </c>
      <c r="CZ73" s="297"/>
      <c r="DA73" s="297"/>
      <c r="DB73" s="262">
        <f t="shared" si="47"/>
        <v>5</v>
      </c>
      <c r="DC73" s="298" t="e">
        <f>($S73+$Q73*($O73+$I73*($D73*(1-Stoff!$P73))*(1-EXP(-($F73+Stoff!$L73*365)*DB73)))*(1-EXP(-($N73+Stoff!$M73*365)*DB73)))</f>
        <v>#VALUE!</v>
      </c>
      <c r="DD73" s="294" t="e">
        <f t="shared" si="48"/>
        <v>#VALUE!</v>
      </c>
      <c r="DE73" s="296" t="e">
        <f>(DD73/1000000)*('1a. Spredningsmodell input'!$B$49)*'1a. Spredningsmodell input'!$C$35</f>
        <v>#VALUE!</v>
      </c>
      <c r="DF73" s="294" t="e">
        <f t="shared" si="49"/>
        <v>#VALUE!</v>
      </c>
      <c r="DG73" s="290" t="e">
        <f>(DF73/1000000)*('1a. Spredningsmodell input'!$B$49)*'1a. Spredningsmodell input'!$C$35</f>
        <v>#VALUE!</v>
      </c>
      <c r="DH73" s="297" t="e">
        <f>($S73)*EXP(-(Stoff!$N73*365+$U73)*DB73)+DE73</f>
        <v>#VALUE!</v>
      </c>
      <c r="DI73" s="297" t="e">
        <f>(Stoff!$P73*$S73+DG73)*EXP(-$T73*DB73)</f>
        <v>#VALUE!</v>
      </c>
      <c r="DJ73" s="297" t="e">
        <f>(DH73+DI73)*1000000000/('1a. Spredningsmodell input'!$C$36*1000)</f>
        <v>#VALUE!</v>
      </c>
      <c r="DK73" s="297" t="e">
        <f>$G73*(1-EXP(-'1a. Spredningsmodell input'!$B$43*Mellomregninger!DB73))*(1-EXP(-'1a. Spredningsmodell input'!$B$46*Mellomregninger!DB73))</f>
        <v>#VALUE!</v>
      </c>
      <c r="DL73" s="297"/>
      <c r="DM73" s="297"/>
      <c r="DN73" s="262">
        <f t="shared" si="50"/>
        <v>20</v>
      </c>
      <c r="DO73" s="298" t="e">
        <f>($S73+$Q73*($O73+$I73*($D73*(1-Stoff!$P73))*(1-EXP(-($F73+Stoff!$L73*365)*DN73)))*(1-EXP(-($N73+Stoff!$M73*365)*DN73)))</f>
        <v>#VALUE!</v>
      </c>
      <c r="DP73" s="294" t="e">
        <f t="shared" si="51"/>
        <v>#VALUE!</v>
      </c>
      <c r="DQ73" s="296" t="e">
        <f>(DP73/1000000)*('1a. Spredningsmodell input'!$B$49)*'1a. Spredningsmodell input'!$C$35</f>
        <v>#VALUE!</v>
      </c>
      <c r="DR73" s="294" t="e">
        <f t="shared" si="52"/>
        <v>#VALUE!</v>
      </c>
      <c r="DS73" s="290" t="e">
        <f>(DR73/1000000)*('1a. Spredningsmodell input'!$B$49)*'1a. Spredningsmodell input'!$C$35</f>
        <v>#VALUE!</v>
      </c>
      <c r="DT73" s="297" t="e">
        <f>($S73)*EXP(-(Stoff!$N73*365+$U73)*DN73)+DQ73</f>
        <v>#VALUE!</v>
      </c>
      <c r="DU73" s="297" t="e">
        <f>(Stoff!$P73*$S73+DS73)*EXP(-$T73*DN73)</f>
        <v>#VALUE!</v>
      </c>
      <c r="DV73" s="297" t="e">
        <f>(DT73+DU73)*1000000000/('1a. Spredningsmodell input'!$C$36*1000)</f>
        <v>#VALUE!</v>
      </c>
      <c r="DW73" s="297" t="e">
        <f>$G73*(1-EXP(-'1a. Spredningsmodell input'!$B$43*Mellomregninger!DN73))*(1-EXP(-'1a. Spredningsmodell input'!$B$46*Mellomregninger!DN73))</f>
        <v>#VALUE!</v>
      </c>
      <c r="DX73" s="297"/>
      <c r="DY73" s="297"/>
      <c r="DZ73" s="262">
        <f t="shared" si="53"/>
        <v>100</v>
      </c>
      <c r="EA73" s="298" t="e">
        <f>($S73+$Q73*($O73+$I73*($D73*(1-Stoff!$P73))*(1-EXP(-($F73+Stoff!$L73*365)*DZ73)))*(1-EXP(-($N73+Stoff!$M73*365)*DZ73)))</f>
        <v>#VALUE!</v>
      </c>
      <c r="EB73" s="294" t="e">
        <f t="shared" si="54"/>
        <v>#VALUE!</v>
      </c>
      <c r="EC73" s="296" t="e">
        <f>(EB73/1000000)*('1a. Spredningsmodell input'!$B$49)*'1a. Spredningsmodell input'!$C$35</f>
        <v>#VALUE!</v>
      </c>
      <c r="ED73" s="294" t="e">
        <f t="shared" si="55"/>
        <v>#VALUE!</v>
      </c>
      <c r="EE73" s="290" t="e">
        <f>(ED73/1000000)*('1a. Spredningsmodell input'!$B$49)*'1a. Spredningsmodell input'!$C$35</f>
        <v>#VALUE!</v>
      </c>
      <c r="EF73" s="297" t="e">
        <f>($S73)*EXP(-(Stoff!$N73*365+$U73)*DZ73)+EC73</f>
        <v>#VALUE!</v>
      </c>
      <c r="EG73" s="297" t="e">
        <f>(Stoff!$P73*$S73+EE73)*EXP(-$T73*DZ73)</f>
        <v>#VALUE!</v>
      </c>
      <c r="EH73" s="297" t="e">
        <f>(EF73+EG73)*1000000000/('1a. Spredningsmodell input'!$C$36*1000)</f>
        <v>#VALUE!</v>
      </c>
      <c r="EI73" s="297" t="e">
        <f>$G73*(1-EXP(-'1a. Spredningsmodell input'!$B$43*Mellomregninger!DZ73))*(1-EXP(-'1a. Spredningsmodell input'!$B$46*Mellomregninger!DZ73))</f>
        <v>#VALUE!</v>
      </c>
      <c r="EJ73" s="297"/>
      <c r="EK73" s="297"/>
      <c r="EL73" s="262">
        <f t="shared" si="56"/>
        <v>1.0000000000000001E+25</v>
      </c>
      <c r="EM73" s="294" t="e">
        <f>($S73+$Q73*($O73+$I73*($D73*(1-Stoff!$P73))*(1-EXP(-($F73+Stoff!$L73*365)*EL73)))*(1-EXP(-($N73+Stoff!$M73*365)*EL73)))</f>
        <v>#VALUE!</v>
      </c>
      <c r="EN73" s="296" t="e">
        <f>($S73+$Q73*($O73+$I73*($D73*(1-Stoff!$P73))*(1-EXP(-($F73+Stoff!$L73*365)*(EL73-'1a. Spredningsmodell input'!$C$35))))*(1-EXP(-($N73+Stoff!$M73*365)*(EL73-'1a. Spredningsmodell input'!$C$35))))</f>
        <v>#VALUE!</v>
      </c>
      <c r="EO73" s="294" t="e">
        <f>IF(EL73&lt;'1a. Spredningsmodell input'!$C$35,EM73-($S73)*EXP(-(Stoff!$N73*365+$U73)*EL73),EM73-EN73)</f>
        <v>#VALUE!</v>
      </c>
      <c r="EP73" s="290" t="e">
        <f>((($D73*(Stoff!$P73))*(1-EXP(-'1a. Spredningsmodell input'!$B$43*EL73)))*(1-EXP(-'1a. Spredningsmodell input'!$B$46*EL73)))</f>
        <v>#VALUE!</v>
      </c>
      <c r="EQ73" s="294" t="e">
        <f>((($D73*(Stoff!$P73))*(1-EXP(-'1a. Spredningsmodell input'!$B$43*(EL73-'1a. Spredningsmodell input'!$C$35))))*(1-EXP(-'1a. Spredningsmodell input'!$B$46*(EL73-'1a. Spredningsmodell input'!$C$35))))</f>
        <v>#VALUE!</v>
      </c>
      <c r="ER73" s="290" t="e">
        <f>IF(EL73&lt;'1a. Spredningsmodell input'!$C$35,0,EP73-EQ73)</f>
        <v>#VALUE!</v>
      </c>
      <c r="ES73" s="297" t="e">
        <f>($S73)*EXP(-(Stoff!$N73*365+$U73)*EL73)+EO73</f>
        <v>#VALUE!</v>
      </c>
      <c r="ET73" s="297" t="e">
        <f>(Stoff!$P73*$S73+ER73)*EXP(-$T73*EL73)</f>
        <v>#VALUE!</v>
      </c>
      <c r="EU73" s="297" t="e">
        <f>(ES73+ET73)*1000000000/('1a. Spredningsmodell input'!$C$36*1000)</f>
        <v>#VALUE!</v>
      </c>
      <c r="EV73" s="262" t="e">
        <f t="shared" si="57"/>
        <v>#VALUE!</v>
      </c>
      <c r="EW73" s="299" t="e">
        <f t="shared" si="58"/>
        <v>#VALUE!</v>
      </c>
      <c r="EX73" s="262" t="e">
        <f t="shared" si="59"/>
        <v>#VALUE!</v>
      </c>
    </row>
    <row r="74" spans="1:154" x14ac:dyDescent="0.35">
      <c r="A74" s="50" t="s">
        <v>135</v>
      </c>
      <c r="B74" s="34" t="str">
        <f>IF(ISNUMBER('1c. Kons. porevann'!E74),1000*'1c. Kons. porevann'!E74,IF(ISNUMBER('1b. Kons. umettet jord'!E74),1000*'1b. Kons. umettet jord'!E74/C74,""))</f>
        <v/>
      </c>
      <c r="C74" s="244">
        <f>IF(Stoff!B74="uorganisk",Stoff!C74,Stoff!D74*'1a. Spredningsmodell input'!$C$11)</f>
        <v>10</v>
      </c>
      <c r="D74" s="34" t="str">
        <f>IF(ISNUMBER(B74),0.000001*('1b. Kons. umettet jord'!G74*'1a. Spredningsmodell input'!$C$12+B74*0.001*'1a. Spredningsmodell input'!$C$14)*1000*'1a. Spredningsmodell input'!$B$41*'1a. Spredningsmodell input'!$C$18,"")</f>
        <v/>
      </c>
      <c r="E74" s="283">
        <f>C74*'1a. Spredningsmodell input'!$C$12/'1a. Spredningsmodell input'!$C$14+1</f>
        <v>86</v>
      </c>
      <c r="F74" s="284">
        <f>'1a. Spredningsmodell input'!$B$43/E74</f>
        <v>1.7441860465116275E-2</v>
      </c>
      <c r="G74" s="34" t="e">
        <f>Stoff!P74*Mellomregninger!D74</f>
        <v>#VALUE!</v>
      </c>
      <c r="H74" s="283" t="e">
        <f>(D74-G74)*(F74/(F74+Stoff!L74))</f>
        <v>#VALUE!</v>
      </c>
      <c r="I74" s="283">
        <f>F74/(F74+Stoff!L74)</f>
        <v>1</v>
      </c>
      <c r="J74" s="285" t="str">
        <f>IF(B74="","",IF(ISNUMBER('1d. Kons. mettet sone'!E74),'1d. Kons. mettet sone'!E74,IF(ISNUMBER('1e. Kons. grunnvann'!E74),'1e. Kons. grunnvann'!E74*Mellomregninger!K74,0)))</f>
        <v/>
      </c>
      <c r="K74" s="286">
        <f>IF(Stoff!B74="uorganisk",Stoff!C74,Stoff!D74*'1a. Spredningsmodell input'!$C$24)</f>
        <v>1</v>
      </c>
      <c r="L74" s="27" t="e">
        <f>IF(ISNUMBER('1e. Kons. grunnvann'!E74),1000*'1e. Kons. grunnvann'!E74,1000*J74/K74)</f>
        <v>#VALUE!</v>
      </c>
      <c r="M74" s="34">
        <f>K74*'1a. Spredningsmodell input'!$C$25/'1a. Spredningsmodell input'!$C$26+1</f>
        <v>5.25</v>
      </c>
      <c r="N74" s="284">
        <f>'1a. Spredningsmodell input'!$C$26/M74</f>
        <v>7.6190476190476197E-2</v>
      </c>
      <c r="O74" s="287" t="e">
        <f>0.000000001*(J74*'1a. Spredningsmodell input'!$C$25+L74)*1000*'1a. Spredningsmodell input'!$B$45</f>
        <v>#VALUE!</v>
      </c>
      <c r="P74" s="287" t="e">
        <f>O74*Stoff!P74</f>
        <v>#VALUE!</v>
      </c>
      <c r="Q74" s="287">
        <f>N74/(N74+Stoff!M74)</f>
        <v>1</v>
      </c>
      <c r="R74" s="288">
        <f>IF(ISNUMBER('1f. Kons. resipient'!E74),'1f. Kons. resipient'!E74,0)</f>
        <v>0</v>
      </c>
      <c r="S74" s="288">
        <f>0.000000001*'1a. Spredningsmodell input'!$C$36*R74*1000</f>
        <v>0</v>
      </c>
      <c r="T74" s="288">
        <f>1/'1a. Spredningsmodell input'!$C$35</f>
        <v>1</v>
      </c>
      <c r="U74" s="288">
        <f>1/'1a. Spredningsmodell input'!$C$35</f>
        <v>1</v>
      </c>
      <c r="V74" s="300" t="e">
        <f>(1/($N74+Stoff!$L74))*(LN(($D74*$I74/($D74*$I74+$J74))*($F74+Stoff!$L74+$N74+Stoff!$M74)/($N74+Stoff!$M74)))</f>
        <v>#VALUE!</v>
      </c>
      <c r="W74" s="290" t="e">
        <f>($D74-Stoff!$P74*$D74)*EXP(-($F74+Stoff!$L74*365)*V74)</f>
        <v>#VALUE!</v>
      </c>
      <c r="X74" s="291" t="e">
        <f>(Stoff!$P74*$D74)*EXP(-'1a. Spredningsmodell input'!$B$43*V74)</f>
        <v>#VALUE!</v>
      </c>
      <c r="Y74" s="290" t="e">
        <f>($D74-Stoff!$P74*$D74-W74)*($F74/($F74+Stoff!$L74*365))</f>
        <v>#VALUE!</v>
      </c>
      <c r="Z74" s="290" t="e">
        <f>(Stoff!$P74*$D74)-X74</f>
        <v>#VALUE!</v>
      </c>
      <c r="AA74" s="290" t="e">
        <f>($O74+Y74)*EXP(-($N74+Stoff!$M74*365)*V74)</f>
        <v>#VALUE!</v>
      </c>
      <c r="AB74" s="290" t="e">
        <f>(Stoff!$P74*$O74+Z74)*EXP(-('1a. Spredningsmodell input'!$B$46)*V74)</f>
        <v>#VALUE!</v>
      </c>
      <c r="AC74" s="292" t="e">
        <f>((AA74+AB74)*1000000000)/('1a. Spredningsmodell input'!$B$45*1000)</f>
        <v>#VALUE!</v>
      </c>
      <c r="AD74" s="294" t="e">
        <f>0.001*AC74/('1a. Spredningsmodell input'!$C$25+'1a. Spredningsmodell input'!$C$26/Mellomregninger!$K74)</f>
        <v>#VALUE!</v>
      </c>
      <c r="AE74" s="294" t="e">
        <f>1000*AD74/$K74+AB74*1000000000/('1a. Spredningsmodell input'!$B$45*1000)</f>
        <v>#VALUE!</v>
      </c>
      <c r="AF74" s="294" t="e">
        <f t="shared" si="35"/>
        <v>#VALUE!</v>
      </c>
      <c r="AG74" s="294" t="e">
        <f>AB74*1000000000/('1a. Spredningsmodell input'!$B$45*1000)</f>
        <v>#VALUE!</v>
      </c>
      <c r="AH74" s="300" t="e">
        <f>(1/('1a. Spredningsmodell input'!$B$46))*(LN(($D74*Stoff!$P74/($D74*Stoff!$P74+$P74*Stoff!$P74))*('1a. Spredningsmodell input'!$B$43+'1a. Spredningsmodell input'!$B$46)/('1a. Spredningsmodell input'!$B$46)))</f>
        <v>#VALUE!</v>
      </c>
      <c r="AI74" s="290" t="e">
        <f>($D74-Stoff!$P74*$D74)*EXP(-($F74+Stoff!$L74*365)*AH74)</f>
        <v>#VALUE!</v>
      </c>
      <c r="AJ74" s="291" t="e">
        <f>(Stoff!$P74*$D74)*EXP(-'1a. Spredningsmodell input'!$B$43*AH74)</f>
        <v>#VALUE!</v>
      </c>
      <c r="AK74" s="290" t="e">
        <f>($D74-Stoff!$P74*$D74-AI74)*($F74/($F74+Stoff!$L74*365))</f>
        <v>#VALUE!</v>
      </c>
      <c r="AL74" s="290" t="e">
        <f>(Stoff!$P74*$D74)-AJ74</f>
        <v>#VALUE!</v>
      </c>
      <c r="AM74" s="290" t="e">
        <f>($O74+AK74)*EXP(-($N74+Stoff!$M74*365)*AH74)</f>
        <v>#VALUE!</v>
      </c>
      <c r="AN74" s="290" t="e">
        <f>(Stoff!$P74*$O74+AL74)*EXP(-('1a. Spredningsmodell input'!$B$46)*AH74)</f>
        <v>#VALUE!</v>
      </c>
      <c r="AO74" s="292" t="e">
        <f>((AM74+AN74)*1000000000)/('1a. Spredningsmodell input'!$B$45*1000)</f>
        <v>#VALUE!</v>
      </c>
      <c r="AP74" s="294" t="e">
        <f>0.001*AO74/('1a. Spredningsmodell input'!$C$25+'1a. Spredningsmodell input'!$C$26/Mellomregninger!$K74)</f>
        <v>#VALUE!</v>
      </c>
      <c r="AQ74" s="294" t="e">
        <f>1000*AP74/$K74+AN74*1000000000/('1a. Spredningsmodell input'!$B$45*1000)</f>
        <v>#VALUE!</v>
      </c>
      <c r="AR74" s="294" t="e">
        <f t="shared" si="36"/>
        <v>#VALUE!</v>
      </c>
      <c r="AS74" s="294" t="e">
        <f>AN74*1000000000/('1a. Spredningsmodell input'!$B$45*1000)</f>
        <v>#VALUE!</v>
      </c>
      <c r="AT74" s="295">
        <f t="shared" si="37"/>
        <v>5</v>
      </c>
      <c r="AU74" s="290" t="e">
        <f>($D74-Stoff!$P74*$D74)*EXP(-($F74+Stoff!$L74*365)*AT74)</f>
        <v>#VALUE!</v>
      </c>
      <c r="AV74" s="291" t="e">
        <f>(Stoff!$P74*$D74)*EXP(-'1a. Spredningsmodell input'!$B$43*AT74)</f>
        <v>#VALUE!</v>
      </c>
      <c r="AW74" s="290" t="e">
        <f>($D74-Stoff!$P74*$D74-AU74)*($F74/($F74+Stoff!$L74*365))</f>
        <v>#VALUE!</v>
      </c>
      <c r="AX74" s="290" t="e">
        <f>(Stoff!$P74*$D74)-AV74</f>
        <v>#VALUE!</v>
      </c>
      <c r="AY74" s="290" t="e">
        <f>($O74+AW74)*EXP(-($N74+Stoff!$M74*365)*AT74)</f>
        <v>#VALUE!</v>
      </c>
      <c r="AZ74" s="290" t="e">
        <f>(Stoff!$P74*$O74+AX74)*EXP(-('1a. Spredningsmodell input'!$B$46)*AT74)</f>
        <v>#VALUE!</v>
      </c>
      <c r="BA74" s="292" t="e">
        <f>((AY74+AZ74)*1000000000)/('1a. Spredningsmodell input'!$B$45*1000)</f>
        <v>#VALUE!</v>
      </c>
      <c r="BB74" s="294" t="e">
        <f>0.001*BA74/('1a. Spredningsmodell input'!$C$25+'1a. Spredningsmodell input'!$C$26/Mellomregninger!$K74)</f>
        <v>#VALUE!</v>
      </c>
      <c r="BC74" s="294" t="e">
        <f>1000*BB74/$K74+AZ74*1000000000/('1a. Spredningsmodell input'!$B$45*1000)</f>
        <v>#VALUE!</v>
      </c>
      <c r="BD74" s="294" t="e">
        <f t="shared" si="38"/>
        <v>#VALUE!</v>
      </c>
      <c r="BE74" s="294" t="e">
        <f>AZ74*1000000000/('1a. Spredningsmodell input'!$B$45*1000)</f>
        <v>#VALUE!</v>
      </c>
      <c r="BF74" s="295">
        <f t="shared" si="39"/>
        <v>20</v>
      </c>
      <c r="BG74" s="290" t="e">
        <f>($D74-Stoff!$P74*$D74)*EXP(-($F74+Stoff!$L74*365)*BF74)</f>
        <v>#VALUE!</v>
      </c>
      <c r="BH74" s="291" t="e">
        <f>(Stoff!$P74*$D74)*EXP(-'1a. Spredningsmodell input'!$B$43*BF74)</f>
        <v>#VALUE!</v>
      </c>
      <c r="BI74" s="290" t="e">
        <f>($D74-Stoff!$P74*$D74-BG74)*($F74/($F74+Stoff!$L74*365))</f>
        <v>#VALUE!</v>
      </c>
      <c r="BJ74" s="290" t="e">
        <f>(Stoff!$P74*$D74)-BH74</f>
        <v>#VALUE!</v>
      </c>
      <c r="BK74" s="290" t="e">
        <f>($O74+BI74)*EXP(-($N74+Stoff!$M74*365)*BF74)</f>
        <v>#VALUE!</v>
      </c>
      <c r="BL74" s="290" t="e">
        <f>(Stoff!$P74*$O74+BJ74)*EXP(-('1a. Spredningsmodell input'!$B$46)*BF74)</f>
        <v>#VALUE!</v>
      </c>
      <c r="BM74" s="292" t="e">
        <f>((BK74+BL74)*1000000000)/('1a. Spredningsmodell input'!$B$45*1000)</f>
        <v>#VALUE!</v>
      </c>
      <c r="BN74" s="294" t="e">
        <f>0.001*BM74/('1a. Spredningsmodell input'!$C$25+'1a. Spredningsmodell input'!$C$26/Mellomregninger!$K74)</f>
        <v>#VALUE!</v>
      </c>
      <c r="BO74" s="294" t="e">
        <f>1000*BN74/$K74+BL74*1000000000/('1a. Spredningsmodell input'!$B$45*1000)</f>
        <v>#VALUE!</v>
      </c>
      <c r="BP74" s="294" t="e">
        <f t="shared" si="40"/>
        <v>#VALUE!</v>
      </c>
      <c r="BQ74" s="294" t="e">
        <f>BL74*1000000000/('1a. Spredningsmodell input'!$B$45*1000)</f>
        <v>#VALUE!</v>
      </c>
      <c r="BR74" s="295">
        <f t="shared" si="41"/>
        <v>100</v>
      </c>
      <c r="BS74" s="290" t="e">
        <f>($D74-Stoff!$P74*$D74)*EXP(-($F74+Stoff!$L74*365)*BR74)</f>
        <v>#VALUE!</v>
      </c>
      <c r="BT74" s="291" t="e">
        <f>(Stoff!$P74*$D74)*EXP(-'1a. Spredningsmodell input'!$B$43*BR74)</f>
        <v>#VALUE!</v>
      </c>
      <c r="BU74" s="290" t="e">
        <f>($D74-Stoff!$P74*$D74-BS74)*($F74/($F74+Stoff!$L74*365))</f>
        <v>#VALUE!</v>
      </c>
      <c r="BV74" s="290" t="e">
        <f>(Stoff!$P74*$D74)-BT74</f>
        <v>#VALUE!</v>
      </c>
      <c r="BW74" s="290" t="e">
        <f>($O74+BU74)*EXP(-($N74+Stoff!$M74*365)*BR74)</f>
        <v>#VALUE!</v>
      </c>
      <c r="BX74" s="290" t="e">
        <f>(Stoff!$P74*$O74+BV74)*EXP(-('1a. Spredningsmodell input'!$B$46)*BR74)</f>
        <v>#VALUE!</v>
      </c>
      <c r="BY74" s="292" t="e">
        <f>((BW74+BX74)*1000000000)/('1a. Spredningsmodell input'!$B$45*1000)</f>
        <v>#VALUE!</v>
      </c>
      <c r="BZ74" s="294" t="e">
        <f>0.001*BY74/('1a. Spredningsmodell input'!$C$25+'1a. Spredningsmodell input'!$C$26/Mellomregninger!$K74)</f>
        <v>#VALUE!</v>
      </c>
      <c r="CA74" s="294" t="e">
        <f>1000*BZ74/$K74+BX74*1000000000/('1a. Spredningsmodell input'!$B$45*1000)</f>
        <v>#VALUE!</v>
      </c>
      <c r="CB74" s="294" t="e">
        <f t="shared" si="42"/>
        <v>#VALUE!</v>
      </c>
      <c r="CC74" s="294" t="e">
        <f>BX74*1000000000/('1a. Spredningsmodell input'!$B$45*1000)</f>
        <v>#VALUE!</v>
      </c>
      <c r="CD74" s="294" t="e">
        <f>V74+'1a. Spredningsmodell input'!$C$35</f>
        <v>#VALUE!</v>
      </c>
      <c r="CE74" s="294" t="e">
        <f>($S74+$Q74*($O74+$I74*($D74*(1-Stoff!$P74))*(1-EXP(-($F74+Stoff!$L74*365)*CD74)))*(1-EXP(-($N74+Stoff!$M74*365)*CD74)))</f>
        <v>#VALUE!</v>
      </c>
      <c r="CF74" s="294" t="e">
        <f t="shared" si="43"/>
        <v>#VALUE!</v>
      </c>
      <c r="CG74" s="296" t="e">
        <f>(CF74/1000000)*'1a. Spredningsmodell input'!$B$49*'1a. Spredningsmodell input'!$C$35</f>
        <v>#VALUE!</v>
      </c>
      <c r="CH74" s="294" t="e">
        <f t="shared" si="44"/>
        <v>#VALUE!</v>
      </c>
      <c r="CI74" s="290" t="e">
        <f>(CH74/1000000)*'1a. Spredningsmodell input'!$B$49*'1a. Spredningsmodell input'!$C$35</f>
        <v>#VALUE!</v>
      </c>
      <c r="CJ74" s="297" t="e">
        <f>($S74)*EXP(-(Stoff!$N74*365+$U74)*CD74)+CG74</f>
        <v>#VALUE!</v>
      </c>
      <c r="CK74" s="297" t="e">
        <f>(Stoff!$P74*$S74+CI74)*EXP(-$T74*CD74)</f>
        <v>#VALUE!</v>
      </c>
      <c r="CL74" s="297" t="e">
        <f>(CJ74+CK74)*1000000000/('1a. Spredningsmodell input'!$C$36*1000)</f>
        <v>#VALUE!</v>
      </c>
      <c r="CM74" s="297" t="e">
        <f>$G74*(1-EXP(-'1a. Spredningsmodell input'!$B$43*Mellomregninger!CD74))*(1-EXP(-'1a. Spredningsmodell input'!$B$46*Mellomregninger!CD74))</f>
        <v>#VALUE!</v>
      </c>
      <c r="CN74" s="297"/>
      <c r="CO74" s="297"/>
      <c r="CP74" s="290">
        <f>IF(ISNUMBER(AH74),AH74+'1a. Spredningsmodell input'!$C$35,'1a. Spredningsmodell input'!$C$35)</f>
        <v>1</v>
      </c>
      <c r="CQ74" s="294" t="e">
        <f>($S74+$Q74*($O74+$I74*($D74*(1-Stoff!$P74))*(1-EXP(-($F74+Stoff!$L74*365)*CP74)))*(1-EXP(-($N74+Stoff!$M74*365)*CP74)))</f>
        <v>#VALUE!</v>
      </c>
      <c r="CR74" s="294" t="e">
        <f t="shared" si="45"/>
        <v>#VALUE!</v>
      </c>
      <c r="CS74" s="296" t="e">
        <f>(CR74/1000000)*('1a. Spredningsmodell input'!$B$49*'1a. Spredningsmodell input'!$C$35)</f>
        <v>#VALUE!</v>
      </c>
      <c r="CT74" s="294" t="e">
        <f t="shared" si="46"/>
        <v>#VALUE!</v>
      </c>
      <c r="CU74" s="290" t="e">
        <f>(CT74/1000000)*('1a. Spredningsmodell input'!$B$49)*'1a. Spredningsmodell input'!$C$35</f>
        <v>#VALUE!</v>
      </c>
      <c r="CV74" s="297" t="e">
        <f>($S74)*EXP(-(Stoff!$N74*365+$U74)*CP74)+CS74</f>
        <v>#VALUE!</v>
      </c>
      <c r="CW74" s="297" t="e">
        <f>(Stoff!$P74*$S74+CU74)*EXP(-$T74*CP74)</f>
        <v>#VALUE!</v>
      </c>
      <c r="CX74" s="297">
        <f>IF(ISERROR(CV74),0,(CV74+CW74)*1000000000/('1a. Spredningsmodell input'!$C$36*1000))</f>
        <v>0</v>
      </c>
      <c r="CY74" s="297" t="e">
        <f>$G74*(1-EXP(-'1a. Spredningsmodell input'!$B$43*Mellomregninger!CP74))*(1-EXP(-'1a. Spredningsmodell input'!$B$46*Mellomregninger!CP74))</f>
        <v>#VALUE!</v>
      </c>
      <c r="CZ74" s="297"/>
      <c r="DA74" s="297"/>
      <c r="DB74" s="262">
        <f t="shared" si="47"/>
        <v>5</v>
      </c>
      <c r="DC74" s="298" t="e">
        <f>($S74+$Q74*($O74+$I74*($D74*(1-Stoff!$P74))*(1-EXP(-($F74+Stoff!$L74*365)*DB74)))*(1-EXP(-($N74+Stoff!$M74*365)*DB74)))</f>
        <v>#VALUE!</v>
      </c>
      <c r="DD74" s="294" t="e">
        <f t="shared" si="48"/>
        <v>#VALUE!</v>
      </c>
      <c r="DE74" s="296" t="e">
        <f>(DD74/1000000)*('1a. Spredningsmodell input'!$B$49)*'1a. Spredningsmodell input'!$C$35</f>
        <v>#VALUE!</v>
      </c>
      <c r="DF74" s="294" t="e">
        <f t="shared" si="49"/>
        <v>#VALUE!</v>
      </c>
      <c r="DG74" s="290" t="e">
        <f>(DF74/1000000)*('1a. Spredningsmodell input'!$B$49)*'1a. Spredningsmodell input'!$C$35</f>
        <v>#VALUE!</v>
      </c>
      <c r="DH74" s="297" t="e">
        <f>($S74)*EXP(-(Stoff!$N74*365+$U74)*DB74)+DE74</f>
        <v>#VALUE!</v>
      </c>
      <c r="DI74" s="297" t="e">
        <f>(Stoff!$P74*$S74+DG74)*EXP(-$T74*DB74)</f>
        <v>#VALUE!</v>
      </c>
      <c r="DJ74" s="297" t="e">
        <f>(DH74+DI74)*1000000000/('1a. Spredningsmodell input'!$C$36*1000)</f>
        <v>#VALUE!</v>
      </c>
      <c r="DK74" s="297" t="e">
        <f>$G74*(1-EXP(-'1a. Spredningsmodell input'!$B$43*Mellomregninger!DB74))*(1-EXP(-'1a. Spredningsmodell input'!$B$46*Mellomregninger!DB74))</f>
        <v>#VALUE!</v>
      </c>
      <c r="DL74" s="297"/>
      <c r="DM74" s="297"/>
      <c r="DN74" s="262">
        <f t="shared" si="50"/>
        <v>20</v>
      </c>
      <c r="DO74" s="298" t="e">
        <f>($S74+$Q74*($O74+$I74*($D74*(1-Stoff!$P74))*(1-EXP(-($F74+Stoff!$L74*365)*DN74)))*(1-EXP(-($N74+Stoff!$M74*365)*DN74)))</f>
        <v>#VALUE!</v>
      </c>
      <c r="DP74" s="294" t="e">
        <f t="shared" si="51"/>
        <v>#VALUE!</v>
      </c>
      <c r="DQ74" s="296" t="e">
        <f>(DP74/1000000)*('1a. Spredningsmodell input'!$B$49)*'1a. Spredningsmodell input'!$C$35</f>
        <v>#VALUE!</v>
      </c>
      <c r="DR74" s="294" t="e">
        <f t="shared" si="52"/>
        <v>#VALUE!</v>
      </c>
      <c r="DS74" s="290" t="e">
        <f>(DR74/1000000)*('1a. Spredningsmodell input'!$B$49)*'1a. Spredningsmodell input'!$C$35</f>
        <v>#VALUE!</v>
      </c>
      <c r="DT74" s="297" t="e">
        <f>($S74)*EXP(-(Stoff!$N74*365+$U74)*DN74)+DQ74</f>
        <v>#VALUE!</v>
      </c>
      <c r="DU74" s="297" t="e">
        <f>(Stoff!$P74*$S74+DS74)*EXP(-$T74*DN74)</f>
        <v>#VALUE!</v>
      </c>
      <c r="DV74" s="297" t="e">
        <f>(DT74+DU74)*1000000000/('1a. Spredningsmodell input'!$C$36*1000)</f>
        <v>#VALUE!</v>
      </c>
      <c r="DW74" s="297" t="e">
        <f>$G74*(1-EXP(-'1a. Spredningsmodell input'!$B$43*Mellomregninger!DN74))*(1-EXP(-'1a. Spredningsmodell input'!$B$46*Mellomregninger!DN74))</f>
        <v>#VALUE!</v>
      </c>
      <c r="DX74" s="297"/>
      <c r="DY74" s="297"/>
      <c r="DZ74" s="262">
        <f t="shared" si="53"/>
        <v>100</v>
      </c>
      <c r="EA74" s="298" t="e">
        <f>($S74+$Q74*($O74+$I74*($D74*(1-Stoff!$P74))*(1-EXP(-($F74+Stoff!$L74*365)*DZ74)))*(1-EXP(-($N74+Stoff!$M74*365)*DZ74)))</f>
        <v>#VALUE!</v>
      </c>
      <c r="EB74" s="294" t="e">
        <f t="shared" si="54"/>
        <v>#VALUE!</v>
      </c>
      <c r="EC74" s="296" t="e">
        <f>(EB74/1000000)*('1a. Spredningsmodell input'!$B$49)*'1a. Spredningsmodell input'!$C$35</f>
        <v>#VALUE!</v>
      </c>
      <c r="ED74" s="294" t="e">
        <f t="shared" si="55"/>
        <v>#VALUE!</v>
      </c>
      <c r="EE74" s="290" t="e">
        <f>(ED74/1000000)*('1a. Spredningsmodell input'!$B$49)*'1a. Spredningsmodell input'!$C$35</f>
        <v>#VALUE!</v>
      </c>
      <c r="EF74" s="297" t="e">
        <f>($S74)*EXP(-(Stoff!$N74*365+$U74)*DZ74)+EC74</f>
        <v>#VALUE!</v>
      </c>
      <c r="EG74" s="297" t="e">
        <f>(Stoff!$P74*$S74+EE74)*EXP(-$T74*DZ74)</f>
        <v>#VALUE!</v>
      </c>
      <c r="EH74" s="297" t="e">
        <f>(EF74+EG74)*1000000000/('1a. Spredningsmodell input'!$C$36*1000)</f>
        <v>#VALUE!</v>
      </c>
      <c r="EI74" s="297" t="e">
        <f>$G74*(1-EXP(-'1a. Spredningsmodell input'!$B$43*Mellomregninger!DZ74))*(1-EXP(-'1a. Spredningsmodell input'!$B$46*Mellomregninger!DZ74))</f>
        <v>#VALUE!</v>
      </c>
      <c r="EJ74" s="297"/>
      <c r="EK74" s="297"/>
      <c r="EL74" s="262">
        <f t="shared" si="56"/>
        <v>1.0000000000000001E+25</v>
      </c>
      <c r="EM74" s="294" t="e">
        <f>($S74+$Q74*($O74+$I74*($D74*(1-Stoff!$P74))*(1-EXP(-($F74+Stoff!$L74*365)*EL74)))*(1-EXP(-($N74+Stoff!$M74*365)*EL74)))</f>
        <v>#VALUE!</v>
      </c>
      <c r="EN74" s="296" t="e">
        <f>($S74+$Q74*($O74+$I74*($D74*(1-Stoff!$P74))*(1-EXP(-($F74+Stoff!$L74*365)*(EL74-'1a. Spredningsmodell input'!$C$35))))*(1-EXP(-($N74+Stoff!$M74*365)*(EL74-'1a. Spredningsmodell input'!$C$35))))</f>
        <v>#VALUE!</v>
      </c>
      <c r="EO74" s="294" t="e">
        <f>IF(EL74&lt;'1a. Spredningsmodell input'!$C$35,EM74-($S74)*EXP(-(Stoff!$N74*365+$U74)*EL74),EM74-EN74)</f>
        <v>#VALUE!</v>
      </c>
      <c r="EP74" s="290" t="e">
        <f>((($D74*(Stoff!$P74))*(1-EXP(-'1a. Spredningsmodell input'!$B$43*EL74)))*(1-EXP(-'1a. Spredningsmodell input'!$B$46*EL74)))</f>
        <v>#VALUE!</v>
      </c>
      <c r="EQ74" s="294" t="e">
        <f>((($D74*(Stoff!$P74))*(1-EXP(-'1a. Spredningsmodell input'!$B$43*(EL74-'1a. Spredningsmodell input'!$C$35))))*(1-EXP(-'1a. Spredningsmodell input'!$B$46*(EL74-'1a. Spredningsmodell input'!$C$35))))</f>
        <v>#VALUE!</v>
      </c>
      <c r="ER74" s="290" t="e">
        <f>IF(EL74&lt;'1a. Spredningsmodell input'!$C$35,0,EP74-EQ74)</f>
        <v>#VALUE!</v>
      </c>
      <c r="ES74" s="297" t="e">
        <f>($S74)*EXP(-(Stoff!$N74*365+$U74)*EL74)+EO74</f>
        <v>#VALUE!</v>
      </c>
      <c r="ET74" s="297" t="e">
        <f>(Stoff!$P74*$S74+ER74)*EXP(-$T74*EL74)</f>
        <v>#VALUE!</v>
      </c>
      <c r="EU74" s="297" t="e">
        <f>(ES74+ET74)*1000000000/('1a. Spredningsmodell input'!$C$36*1000)</f>
        <v>#VALUE!</v>
      </c>
      <c r="EV74" s="262" t="e">
        <f t="shared" si="57"/>
        <v>#VALUE!</v>
      </c>
      <c r="EW74" s="299" t="e">
        <f t="shared" si="58"/>
        <v>#VALUE!</v>
      </c>
      <c r="EX74" s="262" t="e">
        <f t="shared" si="59"/>
        <v>#VALUE!</v>
      </c>
    </row>
    <row r="75" spans="1:154" x14ac:dyDescent="0.35">
      <c r="A75" s="50" t="s">
        <v>134</v>
      </c>
      <c r="B75" s="34" t="str">
        <f>IF(ISNUMBER('1c. Kons. porevann'!E75),1000*'1c. Kons. porevann'!E75,IF(ISNUMBER('1b. Kons. umettet jord'!E75),1000*'1b. Kons. umettet jord'!E75/C75,""))</f>
        <v/>
      </c>
      <c r="C75" s="244">
        <f>IF(Stoff!B75="uorganisk",Stoff!C75,Stoff!D75*'1a. Spredningsmodell input'!$C$11)</f>
        <v>53.6</v>
      </c>
      <c r="D75" s="34" t="str">
        <f>IF(ISNUMBER(B75),0.000001*('1b. Kons. umettet jord'!G75*'1a. Spredningsmodell input'!$C$12+B75*0.001*'1a. Spredningsmodell input'!$C$14)*1000*'1a. Spredningsmodell input'!$B$41*'1a. Spredningsmodell input'!$C$18,"")</f>
        <v/>
      </c>
      <c r="E75" s="283">
        <f>C75*'1a. Spredningsmodell input'!$C$12/'1a. Spredningsmodell input'!$C$14+1</f>
        <v>456.6</v>
      </c>
      <c r="F75" s="284">
        <f>'1a. Spredningsmodell input'!$B$43/E75</f>
        <v>3.2851511169513792E-3</v>
      </c>
      <c r="G75" s="34" t="e">
        <f>Stoff!P75*Mellomregninger!D75</f>
        <v>#VALUE!</v>
      </c>
      <c r="H75" s="283" t="e">
        <f>(D75-G75)*(F75/(F75+Stoff!L75))</f>
        <v>#VALUE!</v>
      </c>
      <c r="I75" s="283">
        <f>F75/(F75+Stoff!L75)</f>
        <v>1</v>
      </c>
      <c r="J75" s="285" t="str">
        <f>IF(B75="","",IF(ISNUMBER('1d. Kons. mettet sone'!E75),'1d. Kons. mettet sone'!E75,IF(ISNUMBER('1e. Kons. grunnvann'!E75),'1e. Kons. grunnvann'!E75*Mellomregninger!K75,0)))</f>
        <v/>
      </c>
      <c r="K75" s="286">
        <f>IF(Stoff!B75="uorganisk",Stoff!C75,Stoff!D75*'1a. Spredningsmodell input'!$C$24)</f>
        <v>5.36</v>
      </c>
      <c r="L75" s="27" t="e">
        <f>IF(ISNUMBER('1e. Kons. grunnvann'!E75),1000*'1e. Kons. grunnvann'!E75,1000*J75/K75)</f>
        <v>#VALUE!</v>
      </c>
      <c r="M75" s="34">
        <f>K75*'1a. Spredningsmodell input'!$C$25/'1a. Spredningsmodell input'!$C$26+1</f>
        <v>23.779999999999998</v>
      </c>
      <c r="N75" s="284">
        <f>'1a. Spredningsmodell input'!$C$26/M75</f>
        <v>1.6820857863751055E-2</v>
      </c>
      <c r="O75" s="287" t="e">
        <f>0.000000001*(J75*'1a. Spredningsmodell input'!$C$25+L75)*1000*'1a. Spredningsmodell input'!$B$45</f>
        <v>#VALUE!</v>
      </c>
      <c r="P75" s="287" t="e">
        <f>O75*Stoff!P75</f>
        <v>#VALUE!</v>
      </c>
      <c r="Q75" s="287">
        <f>N75/(N75+Stoff!M75)</f>
        <v>1</v>
      </c>
      <c r="R75" s="288">
        <f>IF(ISNUMBER('1f. Kons. resipient'!E75),'1f. Kons. resipient'!E75,0)</f>
        <v>0</v>
      </c>
      <c r="S75" s="288">
        <f>0.000000001*'1a. Spredningsmodell input'!$C$36*R75*1000</f>
        <v>0</v>
      </c>
      <c r="T75" s="288">
        <f>1/'1a. Spredningsmodell input'!$C$35</f>
        <v>1</v>
      </c>
      <c r="U75" s="288">
        <f>1/'1a. Spredningsmodell input'!$C$35</f>
        <v>1</v>
      </c>
      <c r="V75" s="300" t="e">
        <f>(1/($N75+Stoff!$L75))*(LN(($D75*$I75/($D75*$I75+$J75))*($F75+Stoff!$L75+$N75+Stoff!$M75)/($N75+Stoff!$M75)))</f>
        <v>#VALUE!</v>
      </c>
      <c r="W75" s="290" t="e">
        <f>($D75-Stoff!$P75*$D75)*EXP(-($F75+Stoff!$L75*365)*V75)</f>
        <v>#VALUE!</v>
      </c>
      <c r="X75" s="291" t="e">
        <f>(Stoff!$P75*$D75)*EXP(-'1a. Spredningsmodell input'!$B$43*V75)</f>
        <v>#VALUE!</v>
      </c>
      <c r="Y75" s="290" t="e">
        <f>($D75-Stoff!$P75*$D75-W75)*($F75/($F75+Stoff!$L75*365))</f>
        <v>#VALUE!</v>
      </c>
      <c r="Z75" s="290" t="e">
        <f>(Stoff!$P75*$D75)-X75</f>
        <v>#VALUE!</v>
      </c>
      <c r="AA75" s="290" t="e">
        <f>($O75+Y75)*EXP(-($N75+Stoff!$M75*365)*V75)</f>
        <v>#VALUE!</v>
      </c>
      <c r="AB75" s="290" t="e">
        <f>(Stoff!$P75*$O75+Z75)*EXP(-('1a. Spredningsmodell input'!$B$46)*V75)</f>
        <v>#VALUE!</v>
      </c>
      <c r="AC75" s="292" t="e">
        <f>((AA75+AB75)*1000000000)/('1a. Spredningsmodell input'!$B$45*1000)</f>
        <v>#VALUE!</v>
      </c>
      <c r="AD75" s="294" t="e">
        <f>0.001*AC75/('1a. Spredningsmodell input'!$C$25+'1a. Spredningsmodell input'!$C$26/Mellomregninger!$K75)</f>
        <v>#VALUE!</v>
      </c>
      <c r="AE75" s="294" t="e">
        <f>1000*AD75/$K75+AB75*1000000000/('1a. Spredningsmodell input'!$B$45*1000)</f>
        <v>#VALUE!</v>
      </c>
      <c r="AF75" s="294" t="e">
        <f t="shared" si="35"/>
        <v>#VALUE!</v>
      </c>
      <c r="AG75" s="294" t="e">
        <f>AB75*1000000000/('1a. Spredningsmodell input'!$B$45*1000)</f>
        <v>#VALUE!</v>
      </c>
      <c r="AH75" s="300" t="e">
        <f>(1/('1a. Spredningsmodell input'!$B$46))*(LN(($D75*Stoff!$P75/($D75*Stoff!$P75+$P75*Stoff!$P75))*('1a. Spredningsmodell input'!$B$43+'1a. Spredningsmodell input'!$B$46)/('1a. Spredningsmodell input'!$B$46)))</f>
        <v>#VALUE!</v>
      </c>
      <c r="AI75" s="290" t="e">
        <f>($D75-Stoff!$P75*$D75)*EXP(-($F75+Stoff!$L75*365)*AH75)</f>
        <v>#VALUE!</v>
      </c>
      <c r="AJ75" s="291" t="e">
        <f>(Stoff!$P75*$D75)*EXP(-'1a. Spredningsmodell input'!$B$43*AH75)</f>
        <v>#VALUE!</v>
      </c>
      <c r="AK75" s="290" t="e">
        <f>($D75-Stoff!$P75*$D75-AI75)*($F75/($F75+Stoff!$L75*365))</f>
        <v>#VALUE!</v>
      </c>
      <c r="AL75" s="290" t="e">
        <f>(Stoff!$P75*$D75)-AJ75</f>
        <v>#VALUE!</v>
      </c>
      <c r="AM75" s="290" t="e">
        <f>($O75+AK75)*EXP(-($N75+Stoff!$M75*365)*AH75)</f>
        <v>#VALUE!</v>
      </c>
      <c r="AN75" s="290" t="e">
        <f>(Stoff!$P75*$O75+AL75)*EXP(-('1a. Spredningsmodell input'!$B$46)*AH75)</f>
        <v>#VALUE!</v>
      </c>
      <c r="AO75" s="292" t="e">
        <f>((AM75+AN75)*1000000000)/('1a. Spredningsmodell input'!$B$45*1000)</f>
        <v>#VALUE!</v>
      </c>
      <c r="AP75" s="294" t="e">
        <f>0.001*AO75/('1a. Spredningsmodell input'!$C$25+'1a. Spredningsmodell input'!$C$26/Mellomregninger!$K75)</f>
        <v>#VALUE!</v>
      </c>
      <c r="AQ75" s="294" t="e">
        <f>1000*AP75/$K75+AN75*1000000000/('1a. Spredningsmodell input'!$B$45*1000)</f>
        <v>#VALUE!</v>
      </c>
      <c r="AR75" s="294" t="e">
        <f t="shared" si="36"/>
        <v>#VALUE!</v>
      </c>
      <c r="AS75" s="294" t="e">
        <f>AN75*1000000000/('1a. Spredningsmodell input'!$B$45*1000)</f>
        <v>#VALUE!</v>
      </c>
      <c r="AT75" s="295">
        <f t="shared" si="37"/>
        <v>5</v>
      </c>
      <c r="AU75" s="290" t="e">
        <f>($D75-Stoff!$P75*$D75)*EXP(-($F75+Stoff!$L75*365)*AT75)</f>
        <v>#VALUE!</v>
      </c>
      <c r="AV75" s="291" t="e">
        <f>(Stoff!$P75*$D75)*EXP(-'1a. Spredningsmodell input'!$B$43*AT75)</f>
        <v>#VALUE!</v>
      </c>
      <c r="AW75" s="290" t="e">
        <f>($D75-Stoff!$P75*$D75-AU75)*($F75/($F75+Stoff!$L75*365))</f>
        <v>#VALUE!</v>
      </c>
      <c r="AX75" s="290" t="e">
        <f>(Stoff!$P75*$D75)-AV75</f>
        <v>#VALUE!</v>
      </c>
      <c r="AY75" s="290" t="e">
        <f>($O75+AW75)*EXP(-($N75+Stoff!$M75*365)*AT75)</f>
        <v>#VALUE!</v>
      </c>
      <c r="AZ75" s="290" t="e">
        <f>(Stoff!$P75*$O75+AX75)*EXP(-('1a. Spredningsmodell input'!$B$46)*AT75)</f>
        <v>#VALUE!</v>
      </c>
      <c r="BA75" s="292" t="e">
        <f>((AY75+AZ75)*1000000000)/('1a. Spredningsmodell input'!$B$45*1000)</f>
        <v>#VALUE!</v>
      </c>
      <c r="BB75" s="294" t="e">
        <f>0.001*BA75/('1a. Spredningsmodell input'!$C$25+'1a. Spredningsmodell input'!$C$26/Mellomregninger!$K75)</f>
        <v>#VALUE!</v>
      </c>
      <c r="BC75" s="294" t="e">
        <f>1000*BB75/$K75+AZ75*1000000000/('1a. Spredningsmodell input'!$B$45*1000)</f>
        <v>#VALUE!</v>
      </c>
      <c r="BD75" s="294" t="e">
        <f t="shared" si="38"/>
        <v>#VALUE!</v>
      </c>
      <c r="BE75" s="294" t="e">
        <f>AZ75*1000000000/('1a. Spredningsmodell input'!$B$45*1000)</f>
        <v>#VALUE!</v>
      </c>
      <c r="BF75" s="295">
        <f t="shared" si="39"/>
        <v>20</v>
      </c>
      <c r="BG75" s="290" t="e">
        <f>($D75-Stoff!$P75*$D75)*EXP(-($F75+Stoff!$L75*365)*BF75)</f>
        <v>#VALUE!</v>
      </c>
      <c r="BH75" s="291" t="e">
        <f>(Stoff!$P75*$D75)*EXP(-'1a. Spredningsmodell input'!$B$43*BF75)</f>
        <v>#VALUE!</v>
      </c>
      <c r="BI75" s="290" t="e">
        <f>($D75-Stoff!$P75*$D75-BG75)*($F75/($F75+Stoff!$L75*365))</f>
        <v>#VALUE!</v>
      </c>
      <c r="BJ75" s="290" t="e">
        <f>(Stoff!$P75*$D75)-BH75</f>
        <v>#VALUE!</v>
      </c>
      <c r="BK75" s="290" t="e">
        <f>($O75+BI75)*EXP(-($N75+Stoff!$M75*365)*BF75)</f>
        <v>#VALUE!</v>
      </c>
      <c r="BL75" s="290" t="e">
        <f>(Stoff!$P75*$O75+BJ75)*EXP(-('1a. Spredningsmodell input'!$B$46)*BF75)</f>
        <v>#VALUE!</v>
      </c>
      <c r="BM75" s="292" t="e">
        <f>((BK75+BL75)*1000000000)/('1a. Spredningsmodell input'!$B$45*1000)</f>
        <v>#VALUE!</v>
      </c>
      <c r="BN75" s="294" t="e">
        <f>0.001*BM75/('1a. Spredningsmodell input'!$C$25+'1a. Spredningsmodell input'!$C$26/Mellomregninger!$K75)</f>
        <v>#VALUE!</v>
      </c>
      <c r="BO75" s="294" t="e">
        <f>1000*BN75/$K75+BL75*1000000000/('1a. Spredningsmodell input'!$B$45*1000)</f>
        <v>#VALUE!</v>
      </c>
      <c r="BP75" s="294" t="e">
        <f t="shared" si="40"/>
        <v>#VALUE!</v>
      </c>
      <c r="BQ75" s="294" t="e">
        <f>BL75*1000000000/('1a. Spredningsmodell input'!$B$45*1000)</f>
        <v>#VALUE!</v>
      </c>
      <c r="BR75" s="295">
        <f t="shared" si="41"/>
        <v>100</v>
      </c>
      <c r="BS75" s="290" t="e">
        <f>($D75-Stoff!$P75*$D75)*EXP(-($F75+Stoff!$L75*365)*BR75)</f>
        <v>#VALUE!</v>
      </c>
      <c r="BT75" s="291" t="e">
        <f>(Stoff!$P75*$D75)*EXP(-'1a. Spredningsmodell input'!$B$43*BR75)</f>
        <v>#VALUE!</v>
      </c>
      <c r="BU75" s="290" t="e">
        <f>($D75-Stoff!$P75*$D75-BS75)*($F75/($F75+Stoff!$L75*365))</f>
        <v>#VALUE!</v>
      </c>
      <c r="BV75" s="290" t="e">
        <f>(Stoff!$P75*$D75)-BT75</f>
        <v>#VALUE!</v>
      </c>
      <c r="BW75" s="290" t="e">
        <f>($O75+BU75)*EXP(-($N75+Stoff!$M75*365)*BR75)</f>
        <v>#VALUE!</v>
      </c>
      <c r="BX75" s="290" t="e">
        <f>(Stoff!$P75*$O75+BV75)*EXP(-('1a. Spredningsmodell input'!$B$46)*BR75)</f>
        <v>#VALUE!</v>
      </c>
      <c r="BY75" s="292" t="e">
        <f>((BW75+BX75)*1000000000)/('1a. Spredningsmodell input'!$B$45*1000)</f>
        <v>#VALUE!</v>
      </c>
      <c r="BZ75" s="294" t="e">
        <f>0.001*BY75/('1a. Spredningsmodell input'!$C$25+'1a. Spredningsmodell input'!$C$26/Mellomregninger!$K75)</f>
        <v>#VALUE!</v>
      </c>
      <c r="CA75" s="294" t="e">
        <f>1000*BZ75/$K75+BX75*1000000000/('1a. Spredningsmodell input'!$B$45*1000)</f>
        <v>#VALUE!</v>
      </c>
      <c r="CB75" s="294" t="e">
        <f t="shared" si="42"/>
        <v>#VALUE!</v>
      </c>
      <c r="CC75" s="294" t="e">
        <f>BX75*1000000000/('1a. Spredningsmodell input'!$B$45*1000)</f>
        <v>#VALUE!</v>
      </c>
      <c r="CD75" s="294" t="e">
        <f>V75+'1a. Spredningsmodell input'!$C$35</f>
        <v>#VALUE!</v>
      </c>
      <c r="CE75" s="294" t="e">
        <f>($S75+$Q75*($O75+$I75*($D75*(1-Stoff!$P75))*(1-EXP(-($F75+Stoff!$L75*365)*CD75)))*(1-EXP(-($N75+Stoff!$M75*365)*CD75)))</f>
        <v>#VALUE!</v>
      </c>
      <c r="CF75" s="294" t="e">
        <f t="shared" si="43"/>
        <v>#VALUE!</v>
      </c>
      <c r="CG75" s="296" t="e">
        <f>(CF75/1000000)*'1a. Spredningsmodell input'!$B$49*'1a. Spredningsmodell input'!$C$35</f>
        <v>#VALUE!</v>
      </c>
      <c r="CH75" s="294" t="e">
        <f t="shared" si="44"/>
        <v>#VALUE!</v>
      </c>
      <c r="CI75" s="290" t="e">
        <f>(CH75/1000000)*'1a. Spredningsmodell input'!$B$49*'1a. Spredningsmodell input'!$C$35</f>
        <v>#VALUE!</v>
      </c>
      <c r="CJ75" s="297" t="e">
        <f>($S75)*EXP(-(Stoff!$N75*365+$U75)*CD75)+CG75</f>
        <v>#VALUE!</v>
      </c>
      <c r="CK75" s="297" t="e">
        <f>(Stoff!$P75*$S75+CI75)*EXP(-$T75*CD75)</f>
        <v>#VALUE!</v>
      </c>
      <c r="CL75" s="297" t="e">
        <f>(CJ75+CK75)*1000000000/('1a. Spredningsmodell input'!$C$36*1000)</f>
        <v>#VALUE!</v>
      </c>
      <c r="CM75" s="297" t="e">
        <f>$G75*(1-EXP(-'1a. Spredningsmodell input'!$B$43*Mellomregninger!CD75))*(1-EXP(-'1a. Spredningsmodell input'!$B$46*Mellomregninger!CD75))</f>
        <v>#VALUE!</v>
      </c>
      <c r="CN75" s="297"/>
      <c r="CO75" s="297"/>
      <c r="CP75" s="290">
        <f>IF(ISNUMBER(AH75),AH75+'1a. Spredningsmodell input'!$C$35,'1a. Spredningsmodell input'!$C$35)</f>
        <v>1</v>
      </c>
      <c r="CQ75" s="294" t="e">
        <f>($S75+$Q75*($O75+$I75*($D75*(1-Stoff!$P75))*(1-EXP(-($F75+Stoff!$L75*365)*CP75)))*(1-EXP(-($N75+Stoff!$M75*365)*CP75)))</f>
        <v>#VALUE!</v>
      </c>
      <c r="CR75" s="294" t="e">
        <f t="shared" si="45"/>
        <v>#VALUE!</v>
      </c>
      <c r="CS75" s="296" t="e">
        <f>(CR75/1000000)*('1a. Spredningsmodell input'!$B$49*'1a. Spredningsmodell input'!$C$35)</f>
        <v>#VALUE!</v>
      </c>
      <c r="CT75" s="294" t="e">
        <f t="shared" si="46"/>
        <v>#VALUE!</v>
      </c>
      <c r="CU75" s="290" t="e">
        <f>(CT75/1000000)*('1a. Spredningsmodell input'!$B$49)*'1a. Spredningsmodell input'!$C$35</f>
        <v>#VALUE!</v>
      </c>
      <c r="CV75" s="297" t="e">
        <f>($S75)*EXP(-(Stoff!$N75*365+$U75)*CP75)+CS75</f>
        <v>#VALUE!</v>
      </c>
      <c r="CW75" s="297" t="e">
        <f>(Stoff!$P75*$S75+CU75)*EXP(-$T75*CP75)</f>
        <v>#VALUE!</v>
      </c>
      <c r="CX75" s="297">
        <f>IF(ISERROR(CV75),0,(CV75+CW75)*1000000000/('1a. Spredningsmodell input'!$C$36*1000))</f>
        <v>0</v>
      </c>
      <c r="CY75" s="297" t="e">
        <f>$G75*(1-EXP(-'1a. Spredningsmodell input'!$B$43*Mellomregninger!CP75))*(1-EXP(-'1a. Spredningsmodell input'!$B$46*Mellomregninger!CP75))</f>
        <v>#VALUE!</v>
      </c>
      <c r="CZ75" s="297"/>
      <c r="DA75" s="297"/>
      <c r="DB75" s="262">
        <f t="shared" si="47"/>
        <v>5</v>
      </c>
      <c r="DC75" s="298" t="e">
        <f>($S75+$Q75*($O75+$I75*($D75*(1-Stoff!$P75))*(1-EXP(-($F75+Stoff!$L75*365)*DB75)))*(1-EXP(-($N75+Stoff!$M75*365)*DB75)))</f>
        <v>#VALUE!</v>
      </c>
      <c r="DD75" s="294" t="e">
        <f t="shared" si="48"/>
        <v>#VALUE!</v>
      </c>
      <c r="DE75" s="296" t="e">
        <f>(DD75/1000000)*('1a. Spredningsmodell input'!$B$49)*'1a. Spredningsmodell input'!$C$35</f>
        <v>#VALUE!</v>
      </c>
      <c r="DF75" s="294" t="e">
        <f t="shared" si="49"/>
        <v>#VALUE!</v>
      </c>
      <c r="DG75" s="290" t="e">
        <f>(DF75/1000000)*('1a. Spredningsmodell input'!$B$49)*'1a. Spredningsmodell input'!$C$35</f>
        <v>#VALUE!</v>
      </c>
      <c r="DH75" s="297" t="e">
        <f>($S75)*EXP(-(Stoff!$N75*365+$U75)*DB75)+DE75</f>
        <v>#VALUE!</v>
      </c>
      <c r="DI75" s="297" t="e">
        <f>(Stoff!$P75*$S75+DG75)*EXP(-$T75*DB75)</f>
        <v>#VALUE!</v>
      </c>
      <c r="DJ75" s="297" t="e">
        <f>(DH75+DI75)*1000000000/('1a. Spredningsmodell input'!$C$36*1000)</f>
        <v>#VALUE!</v>
      </c>
      <c r="DK75" s="297" t="e">
        <f>$G75*(1-EXP(-'1a. Spredningsmodell input'!$B$43*Mellomregninger!DB75))*(1-EXP(-'1a. Spredningsmodell input'!$B$46*Mellomregninger!DB75))</f>
        <v>#VALUE!</v>
      </c>
      <c r="DL75" s="297"/>
      <c r="DM75" s="297"/>
      <c r="DN75" s="262">
        <f t="shared" si="50"/>
        <v>20</v>
      </c>
      <c r="DO75" s="298" t="e">
        <f>($S75+$Q75*($O75+$I75*($D75*(1-Stoff!$P75))*(1-EXP(-($F75+Stoff!$L75*365)*DN75)))*(1-EXP(-($N75+Stoff!$M75*365)*DN75)))</f>
        <v>#VALUE!</v>
      </c>
      <c r="DP75" s="294" t="e">
        <f t="shared" si="51"/>
        <v>#VALUE!</v>
      </c>
      <c r="DQ75" s="296" t="e">
        <f>(DP75/1000000)*('1a. Spredningsmodell input'!$B$49)*'1a. Spredningsmodell input'!$C$35</f>
        <v>#VALUE!</v>
      </c>
      <c r="DR75" s="294" t="e">
        <f t="shared" si="52"/>
        <v>#VALUE!</v>
      </c>
      <c r="DS75" s="290" t="e">
        <f>(DR75/1000000)*('1a. Spredningsmodell input'!$B$49)*'1a. Spredningsmodell input'!$C$35</f>
        <v>#VALUE!</v>
      </c>
      <c r="DT75" s="297" t="e">
        <f>($S75)*EXP(-(Stoff!$N75*365+$U75)*DN75)+DQ75</f>
        <v>#VALUE!</v>
      </c>
      <c r="DU75" s="297" t="e">
        <f>(Stoff!$P75*$S75+DS75)*EXP(-$T75*DN75)</f>
        <v>#VALUE!</v>
      </c>
      <c r="DV75" s="297" t="e">
        <f>(DT75+DU75)*1000000000/('1a. Spredningsmodell input'!$C$36*1000)</f>
        <v>#VALUE!</v>
      </c>
      <c r="DW75" s="297" t="e">
        <f>$G75*(1-EXP(-'1a. Spredningsmodell input'!$B$43*Mellomregninger!DN75))*(1-EXP(-'1a. Spredningsmodell input'!$B$46*Mellomregninger!DN75))</f>
        <v>#VALUE!</v>
      </c>
      <c r="DX75" s="297"/>
      <c r="DY75" s="297"/>
      <c r="DZ75" s="262">
        <f t="shared" si="53"/>
        <v>100</v>
      </c>
      <c r="EA75" s="298" t="e">
        <f>($S75+$Q75*($O75+$I75*($D75*(1-Stoff!$P75))*(1-EXP(-($F75+Stoff!$L75*365)*DZ75)))*(1-EXP(-($N75+Stoff!$M75*365)*DZ75)))</f>
        <v>#VALUE!</v>
      </c>
      <c r="EB75" s="294" t="e">
        <f t="shared" si="54"/>
        <v>#VALUE!</v>
      </c>
      <c r="EC75" s="296" t="e">
        <f>(EB75/1000000)*('1a. Spredningsmodell input'!$B$49)*'1a. Spredningsmodell input'!$C$35</f>
        <v>#VALUE!</v>
      </c>
      <c r="ED75" s="294" t="e">
        <f t="shared" si="55"/>
        <v>#VALUE!</v>
      </c>
      <c r="EE75" s="290" t="e">
        <f>(ED75/1000000)*('1a. Spredningsmodell input'!$B$49)*'1a. Spredningsmodell input'!$C$35</f>
        <v>#VALUE!</v>
      </c>
      <c r="EF75" s="297" t="e">
        <f>($S75)*EXP(-(Stoff!$N75*365+$U75)*DZ75)+EC75</f>
        <v>#VALUE!</v>
      </c>
      <c r="EG75" s="297" t="e">
        <f>(Stoff!$P75*$S75+EE75)*EXP(-$T75*DZ75)</f>
        <v>#VALUE!</v>
      </c>
      <c r="EH75" s="297" t="e">
        <f>(EF75+EG75)*1000000000/('1a. Spredningsmodell input'!$C$36*1000)</f>
        <v>#VALUE!</v>
      </c>
      <c r="EI75" s="297" t="e">
        <f>$G75*(1-EXP(-'1a. Spredningsmodell input'!$B$43*Mellomregninger!DZ75))*(1-EXP(-'1a. Spredningsmodell input'!$B$46*Mellomregninger!DZ75))</f>
        <v>#VALUE!</v>
      </c>
      <c r="EJ75" s="297"/>
      <c r="EK75" s="297"/>
      <c r="EL75" s="262">
        <f t="shared" si="56"/>
        <v>1.0000000000000001E+25</v>
      </c>
      <c r="EM75" s="294" t="e">
        <f>($S75+$Q75*($O75+$I75*($D75*(1-Stoff!$P75))*(1-EXP(-($F75+Stoff!$L75*365)*EL75)))*(1-EXP(-($N75+Stoff!$M75*365)*EL75)))</f>
        <v>#VALUE!</v>
      </c>
      <c r="EN75" s="296" t="e">
        <f>($S75+$Q75*($O75+$I75*($D75*(1-Stoff!$P75))*(1-EXP(-($F75+Stoff!$L75*365)*(EL75-'1a. Spredningsmodell input'!$C$35))))*(1-EXP(-($N75+Stoff!$M75*365)*(EL75-'1a. Spredningsmodell input'!$C$35))))</f>
        <v>#VALUE!</v>
      </c>
      <c r="EO75" s="294" t="e">
        <f>IF(EL75&lt;'1a. Spredningsmodell input'!$C$35,EM75-($S75)*EXP(-(Stoff!$N75*365+$U75)*EL75),EM75-EN75)</f>
        <v>#VALUE!</v>
      </c>
      <c r="EP75" s="290" t="e">
        <f>((($D75*(Stoff!$P75))*(1-EXP(-'1a. Spredningsmodell input'!$B$43*EL75)))*(1-EXP(-'1a. Spredningsmodell input'!$B$46*EL75)))</f>
        <v>#VALUE!</v>
      </c>
      <c r="EQ75" s="294" t="e">
        <f>((($D75*(Stoff!$P75))*(1-EXP(-'1a. Spredningsmodell input'!$B$43*(EL75-'1a. Spredningsmodell input'!$C$35))))*(1-EXP(-'1a. Spredningsmodell input'!$B$46*(EL75-'1a. Spredningsmodell input'!$C$35))))</f>
        <v>#VALUE!</v>
      </c>
      <c r="ER75" s="290" t="e">
        <f>IF(EL75&lt;'1a. Spredningsmodell input'!$C$35,0,EP75-EQ75)</f>
        <v>#VALUE!</v>
      </c>
      <c r="ES75" s="297" t="e">
        <f>($S75)*EXP(-(Stoff!$N75*365+$U75)*EL75)+EO75</f>
        <v>#VALUE!</v>
      </c>
      <c r="ET75" s="297" t="e">
        <f>(Stoff!$P75*$S75+ER75)*EXP(-$T75*EL75)</f>
        <v>#VALUE!</v>
      </c>
      <c r="EU75" s="297" t="e">
        <f>(ES75+ET75)*1000000000/('1a. Spredningsmodell input'!$C$36*1000)</f>
        <v>#VALUE!</v>
      </c>
      <c r="EV75" s="262" t="e">
        <f t="shared" si="57"/>
        <v>#VALUE!</v>
      </c>
      <c r="EW75" s="299" t="e">
        <f t="shared" si="58"/>
        <v>#VALUE!</v>
      </c>
      <c r="EX75" s="262" t="e">
        <f t="shared" si="59"/>
        <v>#VALUE!</v>
      </c>
    </row>
    <row r="76" spans="1:154" x14ac:dyDescent="0.35">
      <c r="A76" s="50" t="s">
        <v>133</v>
      </c>
      <c r="B76" s="34" t="str">
        <f>IF(ISNUMBER('1c. Kons. porevann'!E76),1000*'1c. Kons. porevann'!E76,IF(ISNUMBER('1b. Kons. umettet jord'!E76),1000*'1b. Kons. umettet jord'!E76/C76,""))</f>
        <v/>
      </c>
      <c r="C76" s="244">
        <f>IF(Stoff!B76="uorganisk",Stoff!C76,Stoff!D76*'1a. Spredningsmodell input'!$C$11)</f>
        <v>53.6</v>
      </c>
      <c r="D76" s="34" t="str">
        <f>IF(ISNUMBER(B76),0.000001*('1b. Kons. umettet jord'!G76*'1a. Spredningsmodell input'!$C$12+B76*0.001*'1a. Spredningsmodell input'!$C$14)*1000*'1a. Spredningsmodell input'!$B$41*'1a. Spredningsmodell input'!$C$18,"")</f>
        <v/>
      </c>
      <c r="E76" s="283">
        <f>C76*'1a. Spredningsmodell input'!$C$12/'1a. Spredningsmodell input'!$C$14+1</f>
        <v>456.6</v>
      </c>
      <c r="F76" s="284">
        <f>'1a. Spredningsmodell input'!$B$43/E76</f>
        <v>3.2851511169513792E-3</v>
      </c>
      <c r="G76" s="34" t="e">
        <f>Stoff!P76*Mellomregninger!D76</f>
        <v>#VALUE!</v>
      </c>
      <c r="H76" s="283" t="e">
        <f>(D76-G76)*(F76/(F76+Stoff!L76))</f>
        <v>#VALUE!</v>
      </c>
      <c r="I76" s="283">
        <f>F76/(F76+Stoff!L76)</f>
        <v>1</v>
      </c>
      <c r="J76" s="285" t="str">
        <f>IF(B76="","",IF(ISNUMBER('1d. Kons. mettet sone'!E76),'1d. Kons. mettet sone'!E76,IF(ISNUMBER('1e. Kons. grunnvann'!E76),'1e. Kons. grunnvann'!E76*Mellomregninger!K76,0)))</f>
        <v/>
      </c>
      <c r="K76" s="286">
        <f>IF(Stoff!B76="uorganisk",Stoff!C76,Stoff!D76*'1a. Spredningsmodell input'!$C$24)</f>
        <v>5.36</v>
      </c>
      <c r="L76" s="27" t="e">
        <f>IF(ISNUMBER('1e. Kons. grunnvann'!E76),1000*'1e. Kons. grunnvann'!E76,1000*J76/K76)</f>
        <v>#VALUE!</v>
      </c>
      <c r="M76" s="34">
        <f>K76*'1a. Spredningsmodell input'!$C$25/'1a. Spredningsmodell input'!$C$26+1</f>
        <v>23.779999999999998</v>
      </c>
      <c r="N76" s="284">
        <f>'1a. Spredningsmodell input'!$C$26/M76</f>
        <v>1.6820857863751055E-2</v>
      </c>
      <c r="O76" s="287" t="e">
        <f>0.000000001*(J76*'1a. Spredningsmodell input'!$C$25+L76)*1000*'1a. Spredningsmodell input'!$B$45</f>
        <v>#VALUE!</v>
      </c>
      <c r="P76" s="287" t="e">
        <f>O76*Stoff!P76</f>
        <v>#VALUE!</v>
      </c>
      <c r="Q76" s="287">
        <f>N76/(N76+Stoff!M76)</f>
        <v>1</v>
      </c>
      <c r="R76" s="288">
        <f>IF(ISNUMBER('1f. Kons. resipient'!E76),'1f. Kons. resipient'!E76,0)</f>
        <v>0</v>
      </c>
      <c r="S76" s="288">
        <f>0.000000001*'1a. Spredningsmodell input'!$C$36*R76*1000</f>
        <v>0</v>
      </c>
      <c r="T76" s="288">
        <f>1/'1a. Spredningsmodell input'!$C$35</f>
        <v>1</v>
      </c>
      <c r="U76" s="288">
        <f>1/'1a. Spredningsmodell input'!$C$35</f>
        <v>1</v>
      </c>
      <c r="V76" s="300" t="e">
        <f>(1/($N76+Stoff!$L76))*(LN(($D76*$I76/($D76*$I76+$J76))*($F76+Stoff!$L76+$N76+Stoff!$M76)/($N76+Stoff!$M76)))</f>
        <v>#VALUE!</v>
      </c>
      <c r="W76" s="290" t="e">
        <f>($D76-Stoff!$P76*$D76)*EXP(-($F76+Stoff!$L76*365)*V76)</f>
        <v>#VALUE!</v>
      </c>
      <c r="X76" s="291" t="e">
        <f>(Stoff!$P76*$D76)*EXP(-'1a. Spredningsmodell input'!$B$43*V76)</f>
        <v>#VALUE!</v>
      </c>
      <c r="Y76" s="290" t="e">
        <f>($D76-Stoff!$P76*$D76-W76)*($F76/($F76+Stoff!$L76*365))</f>
        <v>#VALUE!</v>
      </c>
      <c r="Z76" s="290" t="e">
        <f>(Stoff!$P76*$D76)-X76</f>
        <v>#VALUE!</v>
      </c>
      <c r="AA76" s="290" t="e">
        <f>($O76+Y76)*EXP(-($N76+Stoff!$M76*365)*V76)</f>
        <v>#VALUE!</v>
      </c>
      <c r="AB76" s="290" t="e">
        <f>(Stoff!$P76*$O76+Z76)*EXP(-('1a. Spredningsmodell input'!$B$46)*V76)</f>
        <v>#VALUE!</v>
      </c>
      <c r="AC76" s="292" t="e">
        <f>((AA76+AB76)*1000000000)/('1a. Spredningsmodell input'!$B$45*1000)</f>
        <v>#VALUE!</v>
      </c>
      <c r="AD76" s="294" t="e">
        <f>0.001*AC76/('1a. Spredningsmodell input'!$C$25+'1a. Spredningsmodell input'!$C$26/Mellomregninger!$K76)</f>
        <v>#VALUE!</v>
      </c>
      <c r="AE76" s="294" t="e">
        <f>1000*AD76/$K76+AB76*1000000000/('1a. Spredningsmodell input'!$B$45*1000)</f>
        <v>#VALUE!</v>
      </c>
      <c r="AF76" s="294" t="e">
        <f t="shared" si="35"/>
        <v>#VALUE!</v>
      </c>
      <c r="AG76" s="294" t="e">
        <f>AB76*1000000000/('1a. Spredningsmodell input'!$B$45*1000)</f>
        <v>#VALUE!</v>
      </c>
      <c r="AH76" s="300" t="e">
        <f>(1/('1a. Spredningsmodell input'!$B$46))*(LN(($D76*Stoff!$P76/($D76*Stoff!$P76+$P76*Stoff!$P76))*('1a. Spredningsmodell input'!$B$43+'1a. Spredningsmodell input'!$B$46)/('1a. Spredningsmodell input'!$B$46)))</f>
        <v>#VALUE!</v>
      </c>
      <c r="AI76" s="290" t="e">
        <f>($D76-Stoff!$P76*$D76)*EXP(-($F76+Stoff!$L76*365)*AH76)</f>
        <v>#VALUE!</v>
      </c>
      <c r="AJ76" s="291" t="e">
        <f>(Stoff!$P76*$D76)*EXP(-'1a. Spredningsmodell input'!$B$43*AH76)</f>
        <v>#VALUE!</v>
      </c>
      <c r="AK76" s="290" t="e">
        <f>($D76-Stoff!$P76*$D76-AI76)*($F76/($F76+Stoff!$L76*365))</f>
        <v>#VALUE!</v>
      </c>
      <c r="AL76" s="290" t="e">
        <f>(Stoff!$P76*$D76)-AJ76</f>
        <v>#VALUE!</v>
      </c>
      <c r="AM76" s="290" t="e">
        <f>($O76+AK76)*EXP(-($N76+Stoff!$M76*365)*AH76)</f>
        <v>#VALUE!</v>
      </c>
      <c r="AN76" s="290" t="e">
        <f>(Stoff!$P76*$O76+AL76)*EXP(-('1a. Spredningsmodell input'!$B$46)*AH76)</f>
        <v>#VALUE!</v>
      </c>
      <c r="AO76" s="292" t="e">
        <f>((AM76+AN76)*1000000000)/('1a. Spredningsmodell input'!$B$45*1000)</f>
        <v>#VALUE!</v>
      </c>
      <c r="AP76" s="294" t="e">
        <f>0.001*AO76/('1a. Spredningsmodell input'!$C$25+'1a. Spredningsmodell input'!$C$26/Mellomregninger!$K76)</f>
        <v>#VALUE!</v>
      </c>
      <c r="AQ76" s="294" t="e">
        <f>1000*AP76/$K76+AN76*1000000000/('1a. Spredningsmodell input'!$B$45*1000)</f>
        <v>#VALUE!</v>
      </c>
      <c r="AR76" s="294" t="e">
        <f t="shared" si="36"/>
        <v>#VALUE!</v>
      </c>
      <c r="AS76" s="294" t="e">
        <f>AN76*1000000000/('1a. Spredningsmodell input'!$B$45*1000)</f>
        <v>#VALUE!</v>
      </c>
      <c r="AT76" s="295">
        <f t="shared" si="37"/>
        <v>5</v>
      </c>
      <c r="AU76" s="290" t="e">
        <f>($D76-Stoff!$P76*$D76)*EXP(-($F76+Stoff!$L76*365)*AT76)</f>
        <v>#VALUE!</v>
      </c>
      <c r="AV76" s="291" t="e">
        <f>(Stoff!$P76*$D76)*EXP(-'1a. Spredningsmodell input'!$B$43*AT76)</f>
        <v>#VALUE!</v>
      </c>
      <c r="AW76" s="290" t="e">
        <f>($D76-Stoff!$P76*$D76-AU76)*($F76/($F76+Stoff!$L76*365))</f>
        <v>#VALUE!</v>
      </c>
      <c r="AX76" s="290" t="e">
        <f>(Stoff!$P76*$D76)-AV76</f>
        <v>#VALUE!</v>
      </c>
      <c r="AY76" s="290" t="e">
        <f>($O76+AW76)*EXP(-($N76+Stoff!$M76*365)*AT76)</f>
        <v>#VALUE!</v>
      </c>
      <c r="AZ76" s="290" t="e">
        <f>(Stoff!$P76*$O76+AX76)*EXP(-('1a. Spredningsmodell input'!$B$46)*AT76)</f>
        <v>#VALUE!</v>
      </c>
      <c r="BA76" s="292" t="e">
        <f>((AY76+AZ76)*1000000000)/('1a. Spredningsmodell input'!$B$45*1000)</f>
        <v>#VALUE!</v>
      </c>
      <c r="BB76" s="294" t="e">
        <f>0.001*BA76/('1a. Spredningsmodell input'!$C$25+'1a. Spredningsmodell input'!$C$26/Mellomregninger!$K76)</f>
        <v>#VALUE!</v>
      </c>
      <c r="BC76" s="294" t="e">
        <f>1000*BB76/$K76+AZ76*1000000000/('1a. Spredningsmodell input'!$B$45*1000)</f>
        <v>#VALUE!</v>
      </c>
      <c r="BD76" s="294" t="e">
        <f t="shared" si="38"/>
        <v>#VALUE!</v>
      </c>
      <c r="BE76" s="294" t="e">
        <f>AZ76*1000000000/('1a. Spredningsmodell input'!$B$45*1000)</f>
        <v>#VALUE!</v>
      </c>
      <c r="BF76" s="295">
        <f t="shared" si="39"/>
        <v>20</v>
      </c>
      <c r="BG76" s="290" t="e">
        <f>($D76-Stoff!$P76*$D76)*EXP(-($F76+Stoff!$L76*365)*BF76)</f>
        <v>#VALUE!</v>
      </c>
      <c r="BH76" s="291" t="e">
        <f>(Stoff!$P76*$D76)*EXP(-'1a. Spredningsmodell input'!$B$43*BF76)</f>
        <v>#VALUE!</v>
      </c>
      <c r="BI76" s="290" t="e">
        <f>($D76-Stoff!$P76*$D76-BG76)*($F76/($F76+Stoff!$L76*365))</f>
        <v>#VALUE!</v>
      </c>
      <c r="BJ76" s="290" t="e">
        <f>(Stoff!$P76*$D76)-BH76</f>
        <v>#VALUE!</v>
      </c>
      <c r="BK76" s="290" t="e">
        <f>($O76+BI76)*EXP(-($N76+Stoff!$M76*365)*BF76)</f>
        <v>#VALUE!</v>
      </c>
      <c r="BL76" s="290" t="e">
        <f>(Stoff!$P76*$O76+BJ76)*EXP(-('1a. Spredningsmodell input'!$B$46)*BF76)</f>
        <v>#VALUE!</v>
      </c>
      <c r="BM76" s="292" t="e">
        <f>((BK76+BL76)*1000000000)/('1a. Spredningsmodell input'!$B$45*1000)</f>
        <v>#VALUE!</v>
      </c>
      <c r="BN76" s="294" t="e">
        <f>0.001*BM76/('1a. Spredningsmodell input'!$C$25+'1a. Spredningsmodell input'!$C$26/Mellomregninger!$K76)</f>
        <v>#VALUE!</v>
      </c>
      <c r="BO76" s="294" t="e">
        <f>1000*BN76/$K76+BL76*1000000000/('1a. Spredningsmodell input'!$B$45*1000)</f>
        <v>#VALUE!</v>
      </c>
      <c r="BP76" s="294" t="e">
        <f t="shared" si="40"/>
        <v>#VALUE!</v>
      </c>
      <c r="BQ76" s="294" t="e">
        <f>BL76*1000000000/('1a. Spredningsmodell input'!$B$45*1000)</f>
        <v>#VALUE!</v>
      </c>
      <c r="BR76" s="295">
        <f t="shared" si="41"/>
        <v>100</v>
      </c>
      <c r="BS76" s="290" t="e">
        <f>($D76-Stoff!$P76*$D76)*EXP(-($F76+Stoff!$L76*365)*BR76)</f>
        <v>#VALUE!</v>
      </c>
      <c r="BT76" s="291" t="e">
        <f>(Stoff!$P76*$D76)*EXP(-'1a. Spredningsmodell input'!$B$43*BR76)</f>
        <v>#VALUE!</v>
      </c>
      <c r="BU76" s="290" t="e">
        <f>($D76-Stoff!$P76*$D76-BS76)*($F76/($F76+Stoff!$L76*365))</f>
        <v>#VALUE!</v>
      </c>
      <c r="BV76" s="290" t="e">
        <f>(Stoff!$P76*$D76)-BT76</f>
        <v>#VALUE!</v>
      </c>
      <c r="BW76" s="290" t="e">
        <f>($O76+BU76)*EXP(-($N76+Stoff!$M76*365)*BR76)</f>
        <v>#VALUE!</v>
      </c>
      <c r="BX76" s="290" t="e">
        <f>(Stoff!$P76*$O76+BV76)*EXP(-('1a. Spredningsmodell input'!$B$46)*BR76)</f>
        <v>#VALUE!</v>
      </c>
      <c r="BY76" s="292" t="e">
        <f>((BW76+BX76)*1000000000)/('1a. Spredningsmodell input'!$B$45*1000)</f>
        <v>#VALUE!</v>
      </c>
      <c r="BZ76" s="294" t="e">
        <f>0.001*BY76/('1a. Spredningsmodell input'!$C$25+'1a. Spredningsmodell input'!$C$26/Mellomregninger!$K76)</f>
        <v>#VALUE!</v>
      </c>
      <c r="CA76" s="294" t="e">
        <f>1000*BZ76/$K76+BX76*1000000000/('1a. Spredningsmodell input'!$B$45*1000)</f>
        <v>#VALUE!</v>
      </c>
      <c r="CB76" s="294" t="e">
        <f t="shared" si="42"/>
        <v>#VALUE!</v>
      </c>
      <c r="CC76" s="294" t="e">
        <f>BX76*1000000000/('1a. Spredningsmodell input'!$B$45*1000)</f>
        <v>#VALUE!</v>
      </c>
      <c r="CD76" s="294" t="e">
        <f>V76+'1a. Spredningsmodell input'!$C$35</f>
        <v>#VALUE!</v>
      </c>
      <c r="CE76" s="294" t="e">
        <f>($S76+$Q76*($O76+$I76*($D76*(1-Stoff!$P76))*(1-EXP(-($F76+Stoff!$L76*365)*CD76)))*(1-EXP(-($N76+Stoff!$M76*365)*CD76)))</f>
        <v>#VALUE!</v>
      </c>
      <c r="CF76" s="294" t="e">
        <f t="shared" si="43"/>
        <v>#VALUE!</v>
      </c>
      <c r="CG76" s="296" t="e">
        <f>(CF76/1000000)*'1a. Spredningsmodell input'!$B$49*'1a. Spredningsmodell input'!$C$35</f>
        <v>#VALUE!</v>
      </c>
      <c r="CH76" s="294" t="e">
        <f t="shared" si="44"/>
        <v>#VALUE!</v>
      </c>
      <c r="CI76" s="290" t="e">
        <f>(CH76/1000000)*'1a. Spredningsmodell input'!$B$49*'1a. Spredningsmodell input'!$C$35</f>
        <v>#VALUE!</v>
      </c>
      <c r="CJ76" s="297" t="e">
        <f>($S76)*EXP(-(Stoff!$N76*365+$U76)*CD76)+CG76</f>
        <v>#VALUE!</v>
      </c>
      <c r="CK76" s="297" t="e">
        <f>(Stoff!$P76*$S76+CI76)*EXP(-$T76*CD76)</f>
        <v>#VALUE!</v>
      </c>
      <c r="CL76" s="297" t="e">
        <f>(CJ76+CK76)*1000000000/('1a. Spredningsmodell input'!$C$36*1000)</f>
        <v>#VALUE!</v>
      </c>
      <c r="CM76" s="297" t="e">
        <f>$G76*(1-EXP(-'1a. Spredningsmodell input'!$B$43*Mellomregninger!CD76))*(1-EXP(-'1a. Spredningsmodell input'!$B$46*Mellomregninger!CD76))</f>
        <v>#VALUE!</v>
      </c>
      <c r="CN76" s="297"/>
      <c r="CO76" s="297"/>
      <c r="CP76" s="290">
        <f>IF(ISNUMBER(AH76),AH76+'1a. Spredningsmodell input'!$C$35,'1a. Spredningsmodell input'!$C$35)</f>
        <v>1</v>
      </c>
      <c r="CQ76" s="294" t="e">
        <f>($S76+$Q76*($O76+$I76*($D76*(1-Stoff!$P76))*(1-EXP(-($F76+Stoff!$L76*365)*CP76)))*(1-EXP(-($N76+Stoff!$M76*365)*CP76)))</f>
        <v>#VALUE!</v>
      </c>
      <c r="CR76" s="294" t="e">
        <f t="shared" si="45"/>
        <v>#VALUE!</v>
      </c>
      <c r="CS76" s="296" t="e">
        <f>(CR76/1000000)*('1a. Spredningsmodell input'!$B$49*'1a. Spredningsmodell input'!$C$35)</f>
        <v>#VALUE!</v>
      </c>
      <c r="CT76" s="294" t="e">
        <f t="shared" si="46"/>
        <v>#VALUE!</v>
      </c>
      <c r="CU76" s="290" t="e">
        <f>(CT76/1000000)*('1a. Spredningsmodell input'!$B$49)*'1a. Spredningsmodell input'!$C$35</f>
        <v>#VALUE!</v>
      </c>
      <c r="CV76" s="297" t="e">
        <f>($S76)*EXP(-(Stoff!$N76*365+$U76)*CP76)+CS76</f>
        <v>#VALUE!</v>
      </c>
      <c r="CW76" s="297" t="e">
        <f>(Stoff!$P76*$S76+CU76)*EXP(-$T76*CP76)</f>
        <v>#VALUE!</v>
      </c>
      <c r="CX76" s="297">
        <f>IF(ISERROR(CV76),0,(CV76+CW76)*1000000000/('1a. Spredningsmodell input'!$C$36*1000))</f>
        <v>0</v>
      </c>
      <c r="CY76" s="297" t="e">
        <f>$G76*(1-EXP(-'1a. Spredningsmodell input'!$B$43*Mellomregninger!CP76))*(1-EXP(-'1a. Spredningsmodell input'!$B$46*Mellomregninger!CP76))</f>
        <v>#VALUE!</v>
      </c>
      <c r="CZ76" s="297"/>
      <c r="DA76" s="297"/>
      <c r="DB76" s="262">
        <f t="shared" si="47"/>
        <v>5</v>
      </c>
      <c r="DC76" s="298" t="e">
        <f>($S76+$Q76*($O76+$I76*($D76*(1-Stoff!$P76))*(1-EXP(-($F76+Stoff!$L76*365)*DB76)))*(1-EXP(-($N76+Stoff!$M76*365)*DB76)))</f>
        <v>#VALUE!</v>
      </c>
      <c r="DD76" s="294" t="e">
        <f t="shared" si="48"/>
        <v>#VALUE!</v>
      </c>
      <c r="DE76" s="296" t="e">
        <f>(DD76/1000000)*('1a. Spredningsmodell input'!$B$49)*'1a. Spredningsmodell input'!$C$35</f>
        <v>#VALUE!</v>
      </c>
      <c r="DF76" s="294" t="e">
        <f t="shared" si="49"/>
        <v>#VALUE!</v>
      </c>
      <c r="DG76" s="290" t="e">
        <f>(DF76/1000000)*('1a. Spredningsmodell input'!$B$49)*'1a. Spredningsmodell input'!$C$35</f>
        <v>#VALUE!</v>
      </c>
      <c r="DH76" s="297" t="e">
        <f>($S76)*EXP(-(Stoff!$N76*365+$U76)*DB76)+DE76</f>
        <v>#VALUE!</v>
      </c>
      <c r="DI76" s="297" t="e">
        <f>(Stoff!$P76*$S76+DG76)*EXP(-$T76*DB76)</f>
        <v>#VALUE!</v>
      </c>
      <c r="DJ76" s="297" t="e">
        <f>(DH76+DI76)*1000000000/('1a. Spredningsmodell input'!$C$36*1000)</f>
        <v>#VALUE!</v>
      </c>
      <c r="DK76" s="297" t="e">
        <f>$G76*(1-EXP(-'1a. Spredningsmodell input'!$B$43*Mellomregninger!DB76))*(1-EXP(-'1a. Spredningsmodell input'!$B$46*Mellomregninger!DB76))</f>
        <v>#VALUE!</v>
      </c>
      <c r="DL76" s="297"/>
      <c r="DM76" s="297"/>
      <c r="DN76" s="262">
        <f t="shared" si="50"/>
        <v>20</v>
      </c>
      <c r="DO76" s="298" t="e">
        <f>($S76+$Q76*($O76+$I76*($D76*(1-Stoff!$P76))*(1-EXP(-($F76+Stoff!$L76*365)*DN76)))*(1-EXP(-($N76+Stoff!$M76*365)*DN76)))</f>
        <v>#VALUE!</v>
      </c>
      <c r="DP76" s="294" t="e">
        <f t="shared" si="51"/>
        <v>#VALUE!</v>
      </c>
      <c r="DQ76" s="296" t="e">
        <f>(DP76/1000000)*('1a. Spredningsmodell input'!$B$49)*'1a. Spredningsmodell input'!$C$35</f>
        <v>#VALUE!</v>
      </c>
      <c r="DR76" s="294" t="e">
        <f t="shared" si="52"/>
        <v>#VALUE!</v>
      </c>
      <c r="DS76" s="290" t="e">
        <f>(DR76/1000000)*('1a. Spredningsmodell input'!$B$49)*'1a. Spredningsmodell input'!$C$35</f>
        <v>#VALUE!</v>
      </c>
      <c r="DT76" s="297" t="e">
        <f>($S76)*EXP(-(Stoff!$N76*365+$U76)*DN76)+DQ76</f>
        <v>#VALUE!</v>
      </c>
      <c r="DU76" s="297" t="e">
        <f>(Stoff!$P76*$S76+DS76)*EXP(-$T76*DN76)</f>
        <v>#VALUE!</v>
      </c>
      <c r="DV76" s="297" t="e">
        <f>(DT76+DU76)*1000000000/('1a. Spredningsmodell input'!$C$36*1000)</f>
        <v>#VALUE!</v>
      </c>
      <c r="DW76" s="297" t="e">
        <f>$G76*(1-EXP(-'1a. Spredningsmodell input'!$B$43*Mellomregninger!DN76))*(1-EXP(-'1a. Spredningsmodell input'!$B$46*Mellomregninger!DN76))</f>
        <v>#VALUE!</v>
      </c>
      <c r="DX76" s="297"/>
      <c r="DY76" s="297"/>
      <c r="DZ76" s="262">
        <f t="shared" si="53"/>
        <v>100</v>
      </c>
      <c r="EA76" s="298" t="e">
        <f>($S76+$Q76*($O76+$I76*($D76*(1-Stoff!$P76))*(1-EXP(-($F76+Stoff!$L76*365)*DZ76)))*(1-EXP(-($N76+Stoff!$M76*365)*DZ76)))</f>
        <v>#VALUE!</v>
      </c>
      <c r="EB76" s="294" t="e">
        <f t="shared" si="54"/>
        <v>#VALUE!</v>
      </c>
      <c r="EC76" s="296" t="e">
        <f>(EB76/1000000)*('1a. Spredningsmodell input'!$B$49)*'1a. Spredningsmodell input'!$C$35</f>
        <v>#VALUE!</v>
      </c>
      <c r="ED76" s="294" t="e">
        <f t="shared" si="55"/>
        <v>#VALUE!</v>
      </c>
      <c r="EE76" s="290" t="e">
        <f>(ED76/1000000)*('1a. Spredningsmodell input'!$B$49)*'1a. Spredningsmodell input'!$C$35</f>
        <v>#VALUE!</v>
      </c>
      <c r="EF76" s="297" t="e">
        <f>($S76)*EXP(-(Stoff!$N76*365+$U76)*DZ76)+EC76</f>
        <v>#VALUE!</v>
      </c>
      <c r="EG76" s="297" t="e">
        <f>(Stoff!$P76*$S76+EE76)*EXP(-$T76*DZ76)</f>
        <v>#VALUE!</v>
      </c>
      <c r="EH76" s="297" t="e">
        <f>(EF76+EG76)*1000000000/('1a. Spredningsmodell input'!$C$36*1000)</f>
        <v>#VALUE!</v>
      </c>
      <c r="EI76" s="297" t="e">
        <f>$G76*(1-EXP(-'1a. Spredningsmodell input'!$B$43*Mellomregninger!DZ76))*(1-EXP(-'1a. Spredningsmodell input'!$B$46*Mellomregninger!DZ76))</f>
        <v>#VALUE!</v>
      </c>
      <c r="EJ76" s="297"/>
      <c r="EK76" s="297"/>
      <c r="EL76" s="262">
        <f t="shared" si="56"/>
        <v>1.0000000000000001E+25</v>
      </c>
      <c r="EM76" s="294" t="e">
        <f>($S76+$Q76*($O76+$I76*($D76*(1-Stoff!$P76))*(1-EXP(-($F76+Stoff!$L76*365)*EL76)))*(1-EXP(-($N76+Stoff!$M76*365)*EL76)))</f>
        <v>#VALUE!</v>
      </c>
      <c r="EN76" s="296" t="e">
        <f>($S76+$Q76*($O76+$I76*($D76*(1-Stoff!$P76))*(1-EXP(-($F76+Stoff!$L76*365)*(EL76-'1a. Spredningsmodell input'!$C$35))))*(1-EXP(-($N76+Stoff!$M76*365)*(EL76-'1a. Spredningsmodell input'!$C$35))))</f>
        <v>#VALUE!</v>
      </c>
      <c r="EO76" s="294" t="e">
        <f>IF(EL76&lt;'1a. Spredningsmodell input'!$C$35,EM76-($S76)*EXP(-(Stoff!$N76*365+$U76)*EL76),EM76-EN76)</f>
        <v>#VALUE!</v>
      </c>
      <c r="EP76" s="290" t="e">
        <f>((($D76*(Stoff!$P76))*(1-EXP(-'1a. Spredningsmodell input'!$B$43*EL76)))*(1-EXP(-'1a. Spredningsmodell input'!$B$46*EL76)))</f>
        <v>#VALUE!</v>
      </c>
      <c r="EQ76" s="294" t="e">
        <f>((($D76*(Stoff!$P76))*(1-EXP(-'1a. Spredningsmodell input'!$B$43*(EL76-'1a. Spredningsmodell input'!$C$35))))*(1-EXP(-'1a. Spredningsmodell input'!$B$46*(EL76-'1a. Spredningsmodell input'!$C$35))))</f>
        <v>#VALUE!</v>
      </c>
      <c r="ER76" s="290" t="e">
        <f>IF(EL76&lt;'1a. Spredningsmodell input'!$C$35,0,EP76-EQ76)</f>
        <v>#VALUE!</v>
      </c>
      <c r="ES76" s="297" t="e">
        <f>($S76)*EXP(-(Stoff!$N76*365+$U76)*EL76)+EO76</f>
        <v>#VALUE!</v>
      </c>
      <c r="ET76" s="297" t="e">
        <f>(Stoff!$P76*$S76+ER76)*EXP(-$T76*EL76)</f>
        <v>#VALUE!</v>
      </c>
      <c r="EU76" s="297" t="e">
        <f>(ES76+ET76)*1000000000/('1a. Spredningsmodell input'!$C$36*1000)</f>
        <v>#VALUE!</v>
      </c>
      <c r="EV76" s="262" t="e">
        <f t="shared" si="57"/>
        <v>#VALUE!</v>
      </c>
      <c r="EW76" s="299" t="e">
        <f t="shared" si="58"/>
        <v>#VALUE!</v>
      </c>
      <c r="EX76" s="262" t="e">
        <f t="shared" si="59"/>
        <v>#VALUE!</v>
      </c>
    </row>
    <row r="77" spans="1:154" x14ac:dyDescent="0.35">
      <c r="A77" s="50" t="s">
        <v>132</v>
      </c>
      <c r="B77" s="34" t="str">
        <f>IF(ISNUMBER('1c. Kons. porevann'!E77),1000*'1c. Kons. porevann'!E77,IF(ISNUMBER('1b. Kons. umettet jord'!E77),1000*'1b. Kons. umettet jord'!E77/C77,""))</f>
        <v/>
      </c>
      <c r="C77" s="244">
        <f>IF(Stoff!B77="uorganisk",Stoff!C77,Stoff!D77*'1a. Spredningsmodell input'!$C$11)</f>
        <v>27.400000000000002</v>
      </c>
      <c r="D77" s="34" t="str">
        <f>IF(ISNUMBER(B77),0.000001*('1b. Kons. umettet jord'!G77*'1a. Spredningsmodell input'!$C$12+B77*0.001*'1a. Spredningsmodell input'!$C$14)*1000*'1a. Spredningsmodell input'!$B$41*'1a. Spredningsmodell input'!$C$18,"")</f>
        <v/>
      </c>
      <c r="E77" s="283">
        <f>C77*'1a. Spredningsmodell input'!$C$12/'1a. Spredningsmodell input'!$C$14+1</f>
        <v>233.9</v>
      </c>
      <c r="F77" s="284">
        <f>'1a. Spredningsmodell input'!$B$43/E77</f>
        <v>6.4129970072680622E-3</v>
      </c>
      <c r="G77" s="34" t="e">
        <f>Stoff!P77*Mellomregninger!D77</f>
        <v>#VALUE!</v>
      </c>
      <c r="H77" s="283" t="e">
        <f>(D77-G77)*(F77/(F77+Stoff!L77))</f>
        <v>#VALUE!</v>
      </c>
      <c r="I77" s="283">
        <f>F77/(F77+Stoff!L77)</f>
        <v>1</v>
      </c>
      <c r="J77" s="285" t="str">
        <f>IF(B77="","",IF(ISNUMBER('1d. Kons. mettet sone'!E77),'1d. Kons. mettet sone'!E77,IF(ISNUMBER('1e. Kons. grunnvann'!E77),'1e. Kons. grunnvann'!E77*Mellomregninger!K77,0)))</f>
        <v/>
      </c>
      <c r="K77" s="286">
        <f>IF(Stoff!B77="uorganisk",Stoff!C77,Stoff!D77*'1a. Spredningsmodell input'!$C$24)</f>
        <v>2.74</v>
      </c>
      <c r="L77" s="27" t="e">
        <f>IF(ISNUMBER('1e. Kons. grunnvann'!E77),1000*'1e. Kons. grunnvann'!E77,1000*J77/K77)</f>
        <v>#VALUE!</v>
      </c>
      <c r="M77" s="34">
        <f>K77*'1a. Spredningsmodell input'!$C$25/'1a. Spredningsmodell input'!$C$26+1</f>
        <v>12.645</v>
      </c>
      <c r="N77" s="284">
        <f>'1a. Spredningsmodell input'!$C$26/M77</f>
        <v>3.1633056544088572E-2</v>
      </c>
      <c r="O77" s="287" t="e">
        <f>0.000000001*(J77*'1a. Spredningsmodell input'!$C$25+L77)*1000*'1a. Spredningsmodell input'!$B$45</f>
        <v>#VALUE!</v>
      </c>
      <c r="P77" s="287" t="e">
        <f>O77*Stoff!P77</f>
        <v>#VALUE!</v>
      </c>
      <c r="Q77" s="287">
        <f>N77/(N77+Stoff!M77)</f>
        <v>1</v>
      </c>
      <c r="R77" s="288">
        <f>IF(ISNUMBER('1f. Kons. resipient'!E77),'1f. Kons. resipient'!E77,0)</f>
        <v>0</v>
      </c>
      <c r="S77" s="288">
        <f>0.000000001*'1a. Spredningsmodell input'!$C$36*R77*1000</f>
        <v>0</v>
      </c>
      <c r="T77" s="288">
        <f>1/'1a. Spredningsmodell input'!$C$35</f>
        <v>1</v>
      </c>
      <c r="U77" s="288">
        <f>1/'1a. Spredningsmodell input'!$C$35</f>
        <v>1</v>
      </c>
      <c r="V77" s="300" t="e">
        <f>(1/($N77+Stoff!$L77))*(LN(($D77*$I77/($D77*$I77+$J77))*($F77+Stoff!$L77+$N77+Stoff!$M77)/($N77+Stoff!$M77)))</f>
        <v>#VALUE!</v>
      </c>
      <c r="W77" s="290" t="e">
        <f>($D77-Stoff!$P77*$D77)*EXP(-($F77+Stoff!$L77*365)*V77)</f>
        <v>#VALUE!</v>
      </c>
      <c r="X77" s="291" t="e">
        <f>(Stoff!$P77*$D77)*EXP(-'1a. Spredningsmodell input'!$B$43*V77)</f>
        <v>#VALUE!</v>
      </c>
      <c r="Y77" s="290" t="e">
        <f>($D77-Stoff!$P77*$D77-W77)*($F77/($F77+Stoff!$L77*365))</f>
        <v>#VALUE!</v>
      </c>
      <c r="Z77" s="290" t="e">
        <f>(Stoff!$P77*$D77)-X77</f>
        <v>#VALUE!</v>
      </c>
      <c r="AA77" s="290" t="e">
        <f>($O77+Y77)*EXP(-($N77+Stoff!$M77*365)*V77)</f>
        <v>#VALUE!</v>
      </c>
      <c r="AB77" s="290" t="e">
        <f>(Stoff!$P77*$O77+Z77)*EXP(-('1a. Spredningsmodell input'!$B$46)*V77)</f>
        <v>#VALUE!</v>
      </c>
      <c r="AC77" s="292" t="e">
        <f>((AA77+AB77)*1000000000)/('1a. Spredningsmodell input'!$B$45*1000)</f>
        <v>#VALUE!</v>
      </c>
      <c r="AD77" s="294" t="e">
        <f>0.001*AC77/('1a. Spredningsmodell input'!$C$25+'1a. Spredningsmodell input'!$C$26/Mellomregninger!$K77)</f>
        <v>#VALUE!</v>
      </c>
      <c r="AE77" s="294" t="e">
        <f>1000*AD77/$K77+AB77*1000000000/('1a. Spredningsmodell input'!$B$45*1000)</f>
        <v>#VALUE!</v>
      </c>
      <c r="AF77" s="294" t="e">
        <f t="shared" si="35"/>
        <v>#VALUE!</v>
      </c>
      <c r="AG77" s="294" t="e">
        <f>AB77*1000000000/('1a. Spredningsmodell input'!$B$45*1000)</f>
        <v>#VALUE!</v>
      </c>
      <c r="AH77" s="300" t="e">
        <f>(1/('1a. Spredningsmodell input'!$B$46))*(LN(($D77*Stoff!$P77/($D77*Stoff!$P77+$P77*Stoff!$P77))*('1a. Spredningsmodell input'!$B$43+'1a. Spredningsmodell input'!$B$46)/('1a. Spredningsmodell input'!$B$46)))</f>
        <v>#VALUE!</v>
      </c>
      <c r="AI77" s="290" t="e">
        <f>($D77-Stoff!$P77*$D77)*EXP(-($F77+Stoff!$L77*365)*AH77)</f>
        <v>#VALUE!</v>
      </c>
      <c r="AJ77" s="291" t="e">
        <f>(Stoff!$P77*$D77)*EXP(-'1a. Spredningsmodell input'!$B$43*AH77)</f>
        <v>#VALUE!</v>
      </c>
      <c r="AK77" s="290" t="e">
        <f>($D77-Stoff!$P77*$D77-AI77)*($F77/($F77+Stoff!$L77*365))</f>
        <v>#VALUE!</v>
      </c>
      <c r="AL77" s="290" t="e">
        <f>(Stoff!$P77*$D77)-AJ77</f>
        <v>#VALUE!</v>
      </c>
      <c r="AM77" s="290" t="e">
        <f>($O77+AK77)*EXP(-($N77+Stoff!$M77*365)*AH77)</f>
        <v>#VALUE!</v>
      </c>
      <c r="AN77" s="290" t="e">
        <f>(Stoff!$P77*$O77+AL77)*EXP(-('1a. Spredningsmodell input'!$B$46)*AH77)</f>
        <v>#VALUE!</v>
      </c>
      <c r="AO77" s="292" t="e">
        <f>((AM77+AN77)*1000000000)/('1a. Spredningsmodell input'!$B$45*1000)</f>
        <v>#VALUE!</v>
      </c>
      <c r="AP77" s="294" t="e">
        <f>0.001*AO77/('1a. Spredningsmodell input'!$C$25+'1a. Spredningsmodell input'!$C$26/Mellomregninger!$K77)</f>
        <v>#VALUE!</v>
      </c>
      <c r="AQ77" s="294" t="e">
        <f>1000*AP77/$K77+AN77*1000000000/('1a. Spredningsmodell input'!$B$45*1000)</f>
        <v>#VALUE!</v>
      </c>
      <c r="AR77" s="294" t="e">
        <f t="shared" si="36"/>
        <v>#VALUE!</v>
      </c>
      <c r="AS77" s="294" t="e">
        <f>AN77*1000000000/('1a. Spredningsmodell input'!$B$45*1000)</f>
        <v>#VALUE!</v>
      </c>
      <c r="AT77" s="295">
        <f t="shared" si="37"/>
        <v>5</v>
      </c>
      <c r="AU77" s="290" t="e">
        <f>($D77-Stoff!$P77*$D77)*EXP(-($F77+Stoff!$L77*365)*AT77)</f>
        <v>#VALUE!</v>
      </c>
      <c r="AV77" s="291" t="e">
        <f>(Stoff!$P77*$D77)*EXP(-'1a. Spredningsmodell input'!$B$43*AT77)</f>
        <v>#VALUE!</v>
      </c>
      <c r="AW77" s="290" t="e">
        <f>($D77-Stoff!$P77*$D77-AU77)*($F77/($F77+Stoff!$L77*365))</f>
        <v>#VALUE!</v>
      </c>
      <c r="AX77" s="290" t="e">
        <f>(Stoff!$P77*$D77)-AV77</f>
        <v>#VALUE!</v>
      </c>
      <c r="AY77" s="290" t="e">
        <f>($O77+AW77)*EXP(-($N77+Stoff!$M77*365)*AT77)</f>
        <v>#VALUE!</v>
      </c>
      <c r="AZ77" s="290" t="e">
        <f>(Stoff!$P77*$O77+AX77)*EXP(-('1a. Spredningsmodell input'!$B$46)*AT77)</f>
        <v>#VALUE!</v>
      </c>
      <c r="BA77" s="292" t="e">
        <f>((AY77+AZ77)*1000000000)/('1a. Spredningsmodell input'!$B$45*1000)</f>
        <v>#VALUE!</v>
      </c>
      <c r="BB77" s="294" t="e">
        <f>0.001*BA77/('1a. Spredningsmodell input'!$C$25+'1a. Spredningsmodell input'!$C$26/Mellomregninger!$K77)</f>
        <v>#VALUE!</v>
      </c>
      <c r="BC77" s="294" t="e">
        <f>1000*BB77/$K77+AZ77*1000000000/('1a. Spredningsmodell input'!$B$45*1000)</f>
        <v>#VALUE!</v>
      </c>
      <c r="BD77" s="294" t="e">
        <f t="shared" si="38"/>
        <v>#VALUE!</v>
      </c>
      <c r="BE77" s="294" t="e">
        <f>AZ77*1000000000/('1a. Spredningsmodell input'!$B$45*1000)</f>
        <v>#VALUE!</v>
      </c>
      <c r="BF77" s="295">
        <f t="shared" si="39"/>
        <v>20</v>
      </c>
      <c r="BG77" s="290" t="e">
        <f>($D77-Stoff!$P77*$D77)*EXP(-($F77+Stoff!$L77*365)*BF77)</f>
        <v>#VALUE!</v>
      </c>
      <c r="BH77" s="291" t="e">
        <f>(Stoff!$P77*$D77)*EXP(-'1a. Spredningsmodell input'!$B$43*BF77)</f>
        <v>#VALUE!</v>
      </c>
      <c r="BI77" s="290" t="e">
        <f>($D77-Stoff!$P77*$D77-BG77)*($F77/($F77+Stoff!$L77*365))</f>
        <v>#VALUE!</v>
      </c>
      <c r="BJ77" s="290" t="e">
        <f>(Stoff!$P77*$D77)-BH77</f>
        <v>#VALUE!</v>
      </c>
      <c r="BK77" s="290" t="e">
        <f>($O77+BI77)*EXP(-($N77+Stoff!$M77*365)*BF77)</f>
        <v>#VALUE!</v>
      </c>
      <c r="BL77" s="290" t="e">
        <f>(Stoff!$P77*$O77+BJ77)*EXP(-('1a. Spredningsmodell input'!$B$46)*BF77)</f>
        <v>#VALUE!</v>
      </c>
      <c r="BM77" s="292" t="e">
        <f>((BK77+BL77)*1000000000)/('1a. Spredningsmodell input'!$B$45*1000)</f>
        <v>#VALUE!</v>
      </c>
      <c r="BN77" s="294" t="e">
        <f>0.001*BM77/('1a. Spredningsmodell input'!$C$25+'1a. Spredningsmodell input'!$C$26/Mellomregninger!$K77)</f>
        <v>#VALUE!</v>
      </c>
      <c r="BO77" s="294" t="e">
        <f>1000*BN77/$K77+BL77*1000000000/('1a. Spredningsmodell input'!$B$45*1000)</f>
        <v>#VALUE!</v>
      </c>
      <c r="BP77" s="294" t="e">
        <f t="shared" si="40"/>
        <v>#VALUE!</v>
      </c>
      <c r="BQ77" s="294" t="e">
        <f>BL77*1000000000/('1a. Spredningsmodell input'!$B$45*1000)</f>
        <v>#VALUE!</v>
      </c>
      <c r="BR77" s="295">
        <f t="shared" si="41"/>
        <v>100</v>
      </c>
      <c r="BS77" s="290" t="e">
        <f>($D77-Stoff!$P77*$D77)*EXP(-($F77+Stoff!$L77*365)*BR77)</f>
        <v>#VALUE!</v>
      </c>
      <c r="BT77" s="291" t="e">
        <f>(Stoff!$P77*$D77)*EXP(-'1a. Spredningsmodell input'!$B$43*BR77)</f>
        <v>#VALUE!</v>
      </c>
      <c r="BU77" s="290" t="e">
        <f>($D77-Stoff!$P77*$D77-BS77)*($F77/($F77+Stoff!$L77*365))</f>
        <v>#VALUE!</v>
      </c>
      <c r="BV77" s="290" t="e">
        <f>(Stoff!$P77*$D77)-BT77</f>
        <v>#VALUE!</v>
      </c>
      <c r="BW77" s="290" t="e">
        <f>($O77+BU77)*EXP(-($N77+Stoff!$M77*365)*BR77)</f>
        <v>#VALUE!</v>
      </c>
      <c r="BX77" s="290" t="e">
        <f>(Stoff!$P77*$O77+BV77)*EXP(-('1a. Spredningsmodell input'!$B$46)*BR77)</f>
        <v>#VALUE!</v>
      </c>
      <c r="BY77" s="292" t="e">
        <f>((BW77+BX77)*1000000000)/('1a. Spredningsmodell input'!$B$45*1000)</f>
        <v>#VALUE!</v>
      </c>
      <c r="BZ77" s="294" t="e">
        <f>0.001*BY77/('1a. Spredningsmodell input'!$C$25+'1a. Spredningsmodell input'!$C$26/Mellomregninger!$K77)</f>
        <v>#VALUE!</v>
      </c>
      <c r="CA77" s="294" t="e">
        <f>1000*BZ77/$K77+BX77*1000000000/('1a. Spredningsmodell input'!$B$45*1000)</f>
        <v>#VALUE!</v>
      </c>
      <c r="CB77" s="294" t="e">
        <f t="shared" si="42"/>
        <v>#VALUE!</v>
      </c>
      <c r="CC77" s="294" t="e">
        <f>BX77*1000000000/('1a. Spredningsmodell input'!$B$45*1000)</f>
        <v>#VALUE!</v>
      </c>
      <c r="CD77" s="294" t="e">
        <f>V77+'1a. Spredningsmodell input'!$C$35</f>
        <v>#VALUE!</v>
      </c>
      <c r="CE77" s="294" t="e">
        <f>($S77+$Q77*($O77+$I77*($D77*(1-Stoff!$P77))*(1-EXP(-($F77+Stoff!$L77*365)*CD77)))*(1-EXP(-($N77+Stoff!$M77*365)*CD77)))</f>
        <v>#VALUE!</v>
      </c>
      <c r="CF77" s="294" t="e">
        <f t="shared" si="43"/>
        <v>#VALUE!</v>
      </c>
      <c r="CG77" s="296" t="e">
        <f>(CF77/1000000)*'1a. Spredningsmodell input'!$B$49*'1a. Spredningsmodell input'!$C$35</f>
        <v>#VALUE!</v>
      </c>
      <c r="CH77" s="294" t="e">
        <f t="shared" si="44"/>
        <v>#VALUE!</v>
      </c>
      <c r="CI77" s="290" t="e">
        <f>(CH77/1000000)*'1a. Spredningsmodell input'!$B$49*'1a. Spredningsmodell input'!$C$35</f>
        <v>#VALUE!</v>
      </c>
      <c r="CJ77" s="297" t="e">
        <f>($S77)*EXP(-(Stoff!$N77*365+$U77)*CD77)+CG77</f>
        <v>#VALUE!</v>
      </c>
      <c r="CK77" s="297" t="e">
        <f>(Stoff!$P77*$S77+CI77)*EXP(-$T77*CD77)</f>
        <v>#VALUE!</v>
      </c>
      <c r="CL77" s="297" t="e">
        <f>(CJ77+CK77)*1000000000/('1a. Spredningsmodell input'!$C$36*1000)</f>
        <v>#VALUE!</v>
      </c>
      <c r="CM77" s="297" t="e">
        <f>$G77*(1-EXP(-'1a. Spredningsmodell input'!$B$43*Mellomregninger!CD77))*(1-EXP(-'1a. Spredningsmodell input'!$B$46*Mellomregninger!CD77))</f>
        <v>#VALUE!</v>
      </c>
      <c r="CN77" s="297"/>
      <c r="CO77" s="297"/>
      <c r="CP77" s="290">
        <f>IF(ISNUMBER(AH77),AH77+'1a. Spredningsmodell input'!$C$35,'1a. Spredningsmodell input'!$C$35)</f>
        <v>1</v>
      </c>
      <c r="CQ77" s="294" t="e">
        <f>($S77+$Q77*($O77+$I77*($D77*(1-Stoff!$P77))*(1-EXP(-($F77+Stoff!$L77*365)*CP77)))*(1-EXP(-($N77+Stoff!$M77*365)*CP77)))</f>
        <v>#VALUE!</v>
      </c>
      <c r="CR77" s="294" t="e">
        <f t="shared" si="45"/>
        <v>#VALUE!</v>
      </c>
      <c r="CS77" s="296" t="e">
        <f>(CR77/1000000)*('1a. Spredningsmodell input'!$B$49*'1a. Spredningsmodell input'!$C$35)</f>
        <v>#VALUE!</v>
      </c>
      <c r="CT77" s="294" t="e">
        <f t="shared" si="46"/>
        <v>#VALUE!</v>
      </c>
      <c r="CU77" s="290" t="e">
        <f>(CT77/1000000)*('1a. Spredningsmodell input'!$B$49)*'1a. Spredningsmodell input'!$C$35</f>
        <v>#VALUE!</v>
      </c>
      <c r="CV77" s="297" t="e">
        <f>($S77)*EXP(-(Stoff!$N77*365+$U77)*CP77)+CS77</f>
        <v>#VALUE!</v>
      </c>
      <c r="CW77" s="297" t="e">
        <f>(Stoff!$P77*$S77+CU77)*EXP(-$T77*CP77)</f>
        <v>#VALUE!</v>
      </c>
      <c r="CX77" s="297">
        <f>IF(ISERROR(CV77),0,(CV77+CW77)*1000000000/('1a. Spredningsmodell input'!$C$36*1000))</f>
        <v>0</v>
      </c>
      <c r="CY77" s="297" t="e">
        <f>$G77*(1-EXP(-'1a. Spredningsmodell input'!$B$43*Mellomregninger!CP77))*(1-EXP(-'1a. Spredningsmodell input'!$B$46*Mellomregninger!CP77))</f>
        <v>#VALUE!</v>
      </c>
      <c r="CZ77" s="297"/>
      <c r="DA77" s="297"/>
      <c r="DB77" s="262">
        <f t="shared" si="47"/>
        <v>5</v>
      </c>
      <c r="DC77" s="298" t="e">
        <f>($S77+$Q77*($O77+$I77*($D77*(1-Stoff!$P77))*(1-EXP(-($F77+Stoff!$L77*365)*DB77)))*(1-EXP(-($N77+Stoff!$M77*365)*DB77)))</f>
        <v>#VALUE!</v>
      </c>
      <c r="DD77" s="294" t="e">
        <f t="shared" si="48"/>
        <v>#VALUE!</v>
      </c>
      <c r="DE77" s="296" t="e">
        <f>(DD77/1000000)*('1a. Spredningsmodell input'!$B$49)*'1a. Spredningsmodell input'!$C$35</f>
        <v>#VALUE!</v>
      </c>
      <c r="DF77" s="294" t="e">
        <f t="shared" si="49"/>
        <v>#VALUE!</v>
      </c>
      <c r="DG77" s="290" t="e">
        <f>(DF77/1000000)*('1a. Spredningsmodell input'!$B$49)*'1a. Spredningsmodell input'!$C$35</f>
        <v>#VALUE!</v>
      </c>
      <c r="DH77" s="297" t="e">
        <f>($S77)*EXP(-(Stoff!$N77*365+$U77)*DB77)+DE77</f>
        <v>#VALUE!</v>
      </c>
      <c r="DI77" s="297" t="e">
        <f>(Stoff!$P77*$S77+DG77)*EXP(-$T77*DB77)</f>
        <v>#VALUE!</v>
      </c>
      <c r="DJ77" s="297" t="e">
        <f>(DH77+DI77)*1000000000/('1a. Spredningsmodell input'!$C$36*1000)</f>
        <v>#VALUE!</v>
      </c>
      <c r="DK77" s="297" t="e">
        <f>$G77*(1-EXP(-'1a. Spredningsmodell input'!$B$43*Mellomregninger!DB77))*(1-EXP(-'1a. Spredningsmodell input'!$B$46*Mellomregninger!DB77))</f>
        <v>#VALUE!</v>
      </c>
      <c r="DL77" s="297"/>
      <c r="DM77" s="297"/>
      <c r="DN77" s="262">
        <f t="shared" si="50"/>
        <v>20</v>
      </c>
      <c r="DO77" s="298" t="e">
        <f>($S77+$Q77*($O77+$I77*($D77*(1-Stoff!$P77))*(1-EXP(-($F77+Stoff!$L77*365)*DN77)))*(1-EXP(-($N77+Stoff!$M77*365)*DN77)))</f>
        <v>#VALUE!</v>
      </c>
      <c r="DP77" s="294" t="e">
        <f t="shared" si="51"/>
        <v>#VALUE!</v>
      </c>
      <c r="DQ77" s="296" t="e">
        <f>(DP77/1000000)*('1a. Spredningsmodell input'!$B$49)*'1a. Spredningsmodell input'!$C$35</f>
        <v>#VALUE!</v>
      </c>
      <c r="DR77" s="294" t="e">
        <f t="shared" si="52"/>
        <v>#VALUE!</v>
      </c>
      <c r="DS77" s="290" t="e">
        <f>(DR77/1000000)*('1a. Spredningsmodell input'!$B$49)*'1a. Spredningsmodell input'!$C$35</f>
        <v>#VALUE!</v>
      </c>
      <c r="DT77" s="297" t="e">
        <f>($S77)*EXP(-(Stoff!$N77*365+$U77)*DN77)+DQ77</f>
        <v>#VALUE!</v>
      </c>
      <c r="DU77" s="297" t="e">
        <f>(Stoff!$P77*$S77+DS77)*EXP(-$T77*DN77)</f>
        <v>#VALUE!</v>
      </c>
      <c r="DV77" s="297" t="e">
        <f>(DT77+DU77)*1000000000/('1a. Spredningsmodell input'!$C$36*1000)</f>
        <v>#VALUE!</v>
      </c>
      <c r="DW77" s="297" t="e">
        <f>$G77*(1-EXP(-'1a. Spredningsmodell input'!$B$43*Mellomregninger!DN77))*(1-EXP(-'1a. Spredningsmodell input'!$B$46*Mellomregninger!DN77))</f>
        <v>#VALUE!</v>
      </c>
      <c r="DX77" s="297"/>
      <c r="DY77" s="297"/>
      <c r="DZ77" s="262">
        <f t="shared" si="53"/>
        <v>100</v>
      </c>
      <c r="EA77" s="298" t="e">
        <f>($S77+$Q77*($O77+$I77*($D77*(1-Stoff!$P77))*(1-EXP(-($F77+Stoff!$L77*365)*DZ77)))*(1-EXP(-($N77+Stoff!$M77*365)*DZ77)))</f>
        <v>#VALUE!</v>
      </c>
      <c r="EB77" s="294" t="e">
        <f t="shared" si="54"/>
        <v>#VALUE!</v>
      </c>
      <c r="EC77" s="296" t="e">
        <f>(EB77/1000000)*('1a. Spredningsmodell input'!$B$49)*'1a. Spredningsmodell input'!$C$35</f>
        <v>#VALUE!</v>
      </c>
      <c r="ED77" s="294" t="e">
        <f t="shared" si="55"/>
        <v>#VALUE!</v>
      </c>
      <c r="EE77" s="290" t="e">
        <f>(ED77/1000000)*('1a. Spredningsmodell input'!$B$49)*'1a. Spredningsmodell input'!$C$35</f>
        <v>#VALUE!</v>
      </c>
      <c r="EF77" s="297" t="e">
        <f>($S77)*EXP(-(Stoff!$N77*365+$U77)*DZ77)+EC77</f>
        <v>#VALUE!</v>
      </c>
      <c r="EG77" s="297" t="e">
        <f>(Stoff!$P77*$S77+EE77)*EXP(-$T77*DZ77)</f>
        <v>#VALUE!</v>
      </c>
      <c r="EH77" s="297" t="e">
        <f>(EF77+EG77)*1000000000/('1a. Spredningsmodell input'!$C$36*1000)</f>
        <v>#VALUE!</v>
      </c>
      <c r="EI77" s="297" t="e">
        <f>$G77*(1-EXP(-'1a. Spredningsmodell input'!$B$43*Mellomregninger!DZ77))*(1-EXP(-'1a. Spredningsmodell input'!$B$46*Mellomregninger!DZ77))</f>
        <v>#VALUE!</v>
      </c>
      <c r="EJ77" s="297"/>
      <c r="EK77" s="297"/>
      <c r="EL77" s="262">
        <f t="shared" si="56"/>
        <v>1.0000000000000001E+25</v>
      </c>
      <c r="EM77" s="294" t="e">
        <f>($S77+$Q77*($O77+$I77*($D77*(1-Stoff!$P77))*(1-EXP(-($F77+Stoff!$L77*365)*EL77)))*(1-EXP(-($N77+Stoff!$M77*365)*EL77)))</f>
        <v>#VALUE!</v>
      </c>
      <c r="EN77" s="296" t="e">
        <f>($S77+$Q77*($O77+$I77*($D77*(1-Stoff!$P77))*(1-EXP(-($F77+Stoff!$L77*365)*(EL77-'1a. Spredningsmodell input'!$C$35))))*(1-EXP(-($N77+Stoff!$M77*365)*(EL77-'1a. Spredningsmodell input'!$C$35))))</f>
        <v>#VALUE!</v>
      </c>
      <c r="EO77" s="294" t="e">
        <f>IF(EL77&lt;'1a. Spredningsmodell input'!$C$35,EM77-($S77)*EXP(-(Stoff!$N77*365+$U77)*EL77),EM77-EN77)</f>
        <v>#VALUE!</v>
      </c>
      <c r="EP77" s="290" t="e">
        <f>((($D77*(Stoff!$P77))*(1-EXP(-'1a. Spredningsmodell input'!$B$43*EL77)))*(1-EXP(-'1a. Spredningsmodell input'!$B$46*EL77)))</f>
        <v>#VALUE!</v>
      </c>
      <c r="EQ77" s="294" t="e">
        <f>((($D77*(Stoff!$P77))*(1-EXP(-'1a. Spredningsmodell input'!$B$43*(EL77-'1a. Spredningsmodell input'!$C$35))))*(1-EXP(-'1a. Spredningsmodell input'!$B$46*(EL77-'1a. Spredningsmodell input'!$C$35))))</f>
        <v>#VALUE!</v>
      </c>
      <c r="ER77" s="290" t="e">
        <f>IF(EL77&lt;'1a. Spredningsmodell input'!$C$35,0,EP77-EQ77)</f>
        <v>#VALUE!</v>
      </c>
      <c r="ES77" s="297" t="e">
        <f>($S77)*EXP(-(Stoff!$N77*365+$U77)*EL77)+EO77</f>
        <v>#VALUE!</v>
      </c>
      <c r="ET77" s="297" t="e">
        <f>(Stoff!$P77*$S77+ER77)*EXP(-$T77*EL77)</f>
        <v>#VALUE!</v>
      </c>
      <c r="EU77" s="297" t="e">
        <f>(ES77+ET77)*1000000000/('1a. Spredningsmodell input'!$C$36*1000)</f>
        <v>#VALUE!</v>
      </c>
      <c r="EV77" s="262" t="e">
        <f t="shared" si="57"/>
        <v>#VALUE!</v>
      </c>
      <c r="EW77" s="299" t="e">
        <f t="shared" si="58"/>
        <v>#VALUE!</v>
      </c>
      <c r="EX77" s="262" t="e">
        <f t="shared" si="59"/>
        <v>#VALUE!</v>
      </c>
    </row>
    <row r="78" spans="1:154" x14ac:dyDescent="0.35">
      <c r="A78" s="50" t="s">
        <v>131</v>
      </c>
      <c r="B78" s="34" t="str">
        <f>IF(ISNUMBER('1c. Kons. porevann'!E78),1000*'1c. Kons. porevann'!E78,IF(ISNUMBER('1b. Kons. umettet jord'!E78),1000*'1b. Kons. umettet jord'!E78/C78,""))</f>
        <v/>
      </c>
      <c r="C78" s="244">
        <f>IF(Stoff!B78="uorganisk",Stoff!C78,Stoff!D78*'1a. Spredningsmodell input'!$C$11)</f>
        <v>27.400000000000002</v>
      </c>
      <c r="D78" s="34" t="str">
        <f>IF(ISNUMBER(B78),0.000001*('1b. Kons. umettet jord'!G78*'1a. Spredningsmodell input'!$C$12+B78*0.001*'1a. Spredningsmodell input'!$C$14)*1000*'1a. Spredningsmodell input'!$B$41*'1a. Spredningsmodell input'!$C$18,"")</f>
        <v/>
      </c>
      <c r="E78" s="283">
        <f>C78*'1a. Spredningsmodell input'!$C$12/'1a. Spredningsmodell input'!$C$14+1</f>
        <v>233.9</v>
      </c>
      <c r="F78" s="284">
        <f>'1a. Spredningsmodell input'!$B$43/E78</f>
        <v>6.4129970072680622E-3</v>
      </c>
      <c r="G78" s="34" t="e">
        <f>Stoff!P78*Mellomregninger!D78</f>
        <v>#VALUE!</v>
      </c>
      <c r="H78" s="283" t="e">
        <f>(D78-G78)*(F78/(F78+Stoff!L78))</f>
        <v>#VALUE!</v>
      </c>
      <c r="I78" s="283">
        <f>F78/(F78+Stoff!L78)</f>
        <v>1</v>
      </c>
      <c r="J78" s="285" t="str">
        <f>IF(B78="","",IF(ISNUMBER('1d. Kons. mettet sone'!E78),'1d. Kons. mettet sone'!E78,IF(ISNUMBER('1e. Kons. grunnvann'!E78),'1e. Kons. grunnvann'!E78*Mellomregninger!K78,0)))</f>
        <v/>
      </c>
      <c r="K78" s="286">
        <f>IF(Stoff!B78="uorganisk",Stoff!C78,Stoff!D78*'1a. Spredningsmodell input'!$C$24)</f>
        <v>2.74</v>
      </c>
      <c r="L78" s="27" t="e">
        <f>IF(ISNUMBER('1e. Kons. grunnvann'!E78),1000*'1e. Kons. grunnvann'!E78,1000*J78/K78)</f>
        <v>#VALUE!</v>
      </c>
      <c r="M78" s="34">
        <f>K78*'1a. Spredningsmodell input'!$C$25/'1a. Spredningsmodell input'!$C$26+1</f>
        <v>12.645</v>
      </c>
      <c r="N78" s="284">
        <f>'1a. Spredningsmodell input'!$C$26/M78</f>
        <v>3.1633056544088572E-2</v>
      </c>
      <c r="O78" s="287" t="e">
        <f>0.000000001*(J78*'1a. Spredningsmodell input'!$C$25+L78)*1000*'1a. Spredningsmodell input'!$B$45</f>
        <v>#VALUE!</v>
      </c>
      <c r="P78" s="287" t="e">
        <f>O78*Stoff!P78</f>
        <v>#VALUE!</v>
      </c>
      <c r="Q78" s="287">
        <f>N78/(N78+Stoff!M78)</f>
        <v>1</v>
      </c>
      <c r="R78" s="288">
        <f>IF(ISNUMBER('1f. Kons. resipient'!E78),'1f. Kons. resipient'!E78,0)</f>
        <v>0</v>
      </c>
      <c r="S78" s="288">
        <f>0.000000001*'1a. Spredningsmodell input'!$C$36*R78*1000</f>
        <v>0</v>
      </c>
      <c r="T78" s="288">
        <f>1/'1a. Spredningsmodell input'!$C$35</f>
        <v>1</v>
      </c>
      <c r="U78" s="288">
        <f>1/'1a. Spredningsmodell input'!$C$35</f>
        <v>1</v>
      </c>
      <c r="V78" s="300" t="e">
        <f>(1/($N78+Stoff!$L78))*(LN(($D78*$I78/($D78*$I78+$J78))*($F78+Stoff!$L78+$N78+Stoff!$M78)/($N78+Stoff!$M78)))</f>
        <v>#VALUE!</v>
      </c>
      <c r="W78" s="290" t="e">
        <f>($D78-Stoff!$P78*$D78)*EXP(-($F78+Stoff!$L78*365)*V78)</f>
        <v>#VALUE!</v>
      </c>
      <c r="X78" s="291" t="e">
        <f>(Stoff!$P78*$D78)*EXP(-'1a. Spredningsmodell input'!$B$43*V78)</f>
        <v>#VALUE!</v>
      </c>
      <c r="Y78" s="290" t="e">
        <f>($D78-Stoff!$P78*$D78-W78)*($F78/($F78+Stoff!$L78*365))</f>
        <v>#VALUE!</v>
      </c>
      <c r="Z78" s="290" t="e">
        <f>(Stoff!$P78*$D78)-X78</f>
        <v>#VALUE!</v>
      </c>
      <c r="AA78" s="290" t="e">
        <f>($O78+Y78)*EXP(-($N78+Stoff!$M78*365)*V78)</f>
        <v>#VALUE!</v>
      </c>
      <c r="AB78" s="290" t="e">
        <f>(Stoff!$P78*$O78+Z78)*EXP(-('1a. Spredningsmodell input'!$B$46)*V78)</f>
        <v>#VALUE!</v>
      </c>
      <c r="AC78" s="292" t="e">
        <f>((AA78+AB78)*1000000000)/('1a. Spredningsmodell input'!$B$45*1000)</f>
        <v>#VALUE!</v>
      </c>
      <c r="AD78" s="294" t="e">
        <f>0.001*AC78/('1a. Spredningsmodell input'!$C$25+'1a. Spredningsmodell input'!$C$26/Mellomregninger!$K78)</f>
        <v>#VALUE!</v>
      </c>
      <c r="AE78" s="294" t="e">
        <f>1000*AD78/$K78+AB78*1000000000/('1a. Spredningsmodell input'!$B$45*1000)</f>
        <v>#VALUE!</v>
      </c>
      <c r="AF78" s="294" t="e">
        <f t="shared" si="35"/>
        <v>#VALUE!</v>
      </c>
      <c r="AG78" s="294" t="e">
        <f>AB78*1000000000/('1a. Spredningsmodell input'!$B$45*1000)</f>
        <v>#VALUE!</v>
      </c>
      <c r="AH78" s="300" t="e">
        <f>(1/('1a. Spredningsmodell input'!$B$46))*(LN(($D78*Stoff!$P78/($D78*Stoff!$P78+$P78*Stoff!$P78))*('1a. Spredningsmodell input'!$B$43+'1a. Spredningsmodell input'!$B$46)/('1a. Spredningsmodell input'!$B$46)))</f>
        <v>#VALUE!</v>
      </c>
      <c r="AI78" s="290" t="e">
        <f>($D78-Stoff!$P78*$D78)*EXP(-($F78+Stoff!$L78*365)*AH78)</f>
        <v>#VALUE!</v>
      </c>
      <c r="AJ78" s="291" t="e">
        <f>(Stoff!$P78*$D78)*EXP(-'1a. Spredningsmodell input'!$B$43*AH78)</f>
        <v>#VALUE!</v>
      </c>
      <c r="AK78" s="290" t="e">
        <f>($D78-Stoff!$P78*$D78-AI78)*($F78/($F78+Stoff!$L78*365))</f>
        <v>#VALUE!</v>
      </c>
      <c r="AL78" s="290" t="e">
        <f>(Stoff!$P78*$D78)-AJ78</f>
        <v>#VALUE!</v>
      </c>
      <c r="AM78" s="290" t="e">
        <f>($O78+AK78)*EXP(-($N78+Stoff!$M78*365)*AH78)</f>
        <v>#VALUE!</v>
      </c>
      <c r="AN78" s="290" t="e">
        <f>(Stoff!$P78*$O78+AL78)*EXP(-('1a. Spredningsmodell input'!$B$46)*AH78)</f>
        <v>#VALUE!</v>
      </c>
      <c r="AO78" s="292" t="e">
        <f>((AM78+AN78)*1000000000)/('1a. Spredningsmodell input'!$B$45*1000)</f>
        <v>#VALUE!</v>
      </c>
      <c r="AP78" s="294" t="e">
        <f>0.001*AO78/('1a. Spredningsmodell input'!$C$25+'1a. Spredningsmodell input'!$C$26/Mellomregninger!$K78)</f>
        <v>#VALUE!</v>
      </c>
      <c r="AQ78" s="294" t="e">
        <f>1000*AP78/$K78+AN78*1000000000/('1a. Spredningsmodell input'!$B$45*1000)</f>
        <v>#VALUE!</v>
      </c>
      <c r="AR78" s="294" t="e">
        <f t="shared" si="36"/>
        <v>#VALUE!</v>
      </c>
      <c r="AS78" s="294" t="e">
        <f>AN78*1000000000/('1a. Spredningsmodell input'!$B$45*1000)</f>
        <v>#VALUE!</v>
      </c>
      <c r="AT78" s="295">
        <f t="shared" si="37"/>
        <v>5</v>
      </c>
      <c r="AU78" s="290" t="e">
        <f>($D78-Stoff!$P78*$D78)*EXP(-($F78+Stoff!$L78*365)*AT78)</f>
        <v>#VALUE!</v>
      </c>
      <c r="AV78" s="291" t="e">
        <f>(Stoff!$P78*$D78)*EXP(-'1a. Spredningsmodell input'!$B$43*AT78)</f>
        <v>#VALUE!</v>
      </c>
      <c r="AW78" s="290" t="e">
        <f>($D78-Stoff!$P78*$D78-AU78)*($F78/($F78+Stoff!$L78*365))</f>
        <v>#VALUE!</v>
      </c>
      <c r="AX78" s="290" t="e">
        <f>(Stoff!$P78*$D78)-AV78</f>
        <v>#VALUE!</v>
      </c>
      <c r="AY78" s="290" t="e">
        <f>($O78+AW78)*EXP(-($N78+Stoff!$M78*365)*AT78)</f>
        <v>#VALUE!</v>
      </c>
      <c r="AZ78" s="290" t="e">
        <f>(Stoff!$P78*$O78+AX78)*EXP(-('1a. Spredningsmodell input'!$B$46)*AT78)</f>
        <v>#VALUE!</v>
      </c>
      <c r="BA78" s="292" t="e">
        <f>((AY78+AZ78)*1000000000)/('1a. Spredningsmodell input'!$B$45*1000)</f>
        <v>#VALUE!</v>
      </c>
      <c r="BB78" s="294" t="e">
        <f>0.001*BA78/('1a. Spredningsmodell input'!$C$25+'1a. Spredningsmodell input'!$C$26/Mellomregninger!$K78)</f>
        <v>#VALUE!</v>
      </c>
      <c r="BC78" s="294" t="e">
        <f>1000*BB78/$K78+AZ78*1000000000/('1a. Spredningsmodell input'!$B$45*1000)</f>
        <v>#VALUE!</v>
      </c>
      <c r="BD78" s="294" t="e">
        <f t="shared" si="38"/>
        <v>#VALUE!</v>
      </c>
      <c r="BE78" s="294" t="e">
        <f>AZ78*1000000000/('1a. Spredningsmodell input'!$B$45*1000)</f>
        <v>#VALUE!</v>
      </c>
      <c r="BF78" s="295">
        <f t="shared" si="39"/>
        <v>20</v>
      </c>
      <c r="BG78" s="290" t="e">
        <f>($D78-Stoff!$P78*$D78)*EXP(-($F78+Stoff!$L78*365)*BF78)</f>
        <v>#VALUE!</v>
      </c>
      <c r="BH78" s="291" t="e">
        <f>(Stoff!$P78*$D78)*EXP(-'1a. Spredningsmodell input'!$B$43*BF78)</f>
        <v>#VALUE!</v>
      </c>
      <c r="BI78" s="290" t="e">
        <f>($D78-Stoff!$P78*$D78-BG78)*($F78/($F78+Stoff!$L78*365))</f>
        <v>#VALUE!</v>
      </c>
      <c r="BJ78" s="290" t="e">
        <f>(Stoff!$P78*$D78)-BH78</f>
        <v>#VALUE!</v>
      </c>
      <c r="BK78" s="290" t="e">
        <f>($O78+BI78)*EXP(-($N78+Stoff!$M78*365)*BF78)</f>
        <v>#VALUE!</v>
      </c>
      <c r="BL78" s="290" t="e">
        <f>(Stoff!$P78*$O78+BJ78)*EXP(-('1a. Spredningsmodell input'!$B$46)*BF78)</f>
        <v>#VALUE!</v>
      </c>
      <c r="BM78" s="292" t="e">
        <f>((BK78+BL78)*1000000000)/('1a. Spredningsmodell input'!$B$45*1000)</f>
        <v>#VALUE!</v>
      </c>
      <c r="BN78" s="294" t="e">
        <f>0.001*BM78/('1a. Spredningsmodell input'!$C$25+'1a. Spredningsmodell input'!$C$26/Mellomregninger!$K78)</f>
        <v>#VALUE!</v>
      </c>
      <c r="BO78" s="294" t="e">
        <f>1000*BN78/$K78+BL78*1000000000/('1a. Spredningsmodell input'!$B$45*1000)</f>
        <v>#VALUE!</v>
      </c>
      <c r="BP78" s="294" t="e">
        <f t="shared" si="40"/>
        <v>#VALUE!</v>
      </c>
      <c r="BQ78" s="294" t="e">
        <f>BL78*1000000000/('1a. Spredningsmodell input'!$B$45*1000)</f>
        <v>#VALUE!</v>
      </c>
      <c r="BR78" s="295">
        <f t="shared" si="41"/>
        <v>100</v>
      </c>
      <c r="BS78" s="290" t="e">
        <f>($D78-Stoff!$P78*$D78)*EXP(-($F78+Stoff!$L78*365)*BR78)</f>
        <v>#VALUE!</v>
      </c>
      <c r="BT78" s="291" t="e">
        <f>(Stoff!$P78*$D78)*EXP(-'1a. Spredningsmodell input'!$B$43*BR78)</f>
        <v>#VALUE!</v>
      </c>
      <c r="BU78" s="290" t="e">
        <f>($D78-Stoff!$P78*$D78-BS78)*($F78/($F78+Stoff!$L78*365))</f>
        <v>#VALUE!</v>
      </c>
      <c r="BV78" s="290" t="e">
        <f>(Stoff!$P78*$D78)-BT78</f>
        <v>#VALUE!</v>
      </c>
      <c r="BW78" s="290" t="e">
        <f>($O78+BU78)*EXP(-($N78+Stoff!$M78*365)*BR78)</f>
        <v>#VALUE!</v>
      </c>
      <c r="BX78" s="290" t="e">
        <f>(Stoff!$P78*$O78+BV78)*EXP(-('1a. Spredningsmodell input'!$B$46)*BR78)</f>
        <v>#VALUE!</v>
      </c>
      <c r="BY78" s="292" t="e">
        <f>((BW78+BX78)*1000000000)/('1a. Spredningsmodell input'!$B$45*1000)</f>
        <v>#VALUE!</v>
      </c>
      <c r="BZ78" s="294" t="e">
        <f>0.001*BY78/('1a. Spredningsmodell input'!$C$25+'1a. Spredningsmodell input'!$C$26/Mellomregninger!$K78)</f>
        <v>#VALUE!</v>
      </c>
      <c r="CA78" s="294" t="e">
        <f>1000*BZ78/$K78+BX78*1000000000/('1a. Spredningsmodell input'!$B$45*1000)</f>
        <v>#VALUE!</v>
      </c>
      <c r="CB78" s="294" t="e">
        <f t="shared" si="42"/>
        <v>#VALUE!</v>
      </c>
      <c r="CC78" s="294" t="e">
        <f>BX78*1000000000/('1a. Spredningsmodell input'!$B$45*1000)</f>
        <v>#VALUE!</v>
      </c>
      <c r="CD78" s="294" t="e">
        <f>V78+'1a. Spredningsmodell input'!$C$35</f>
        <v>#VALUE!</v>
      </c>
      <c r="CE78" s="294" t="e">
        <f>($S78+$Q78*($O78+$I78*($D78*(1-Stoff!$P78))*(1-EXP(-($F78+Stoff!$L78*365)*CD78)))*(1-EXP(-($N78+Stoff!$M78*365)*CD78)))</f>
        <v>#VALUE!</v>
      </c>
      <c r="CF78" s="294" t="e">
        <f t="shared" si="43"/>
        <v>#VALUE!</v>
      </c>
      <c r="CG78" s="296" t="e">
        <f>(CF78/1000000)*'1a. Spredningsmodell input'!$B$49*'1a. Spredningsmodell input'!$C$35</f>
        <v>#VALUE!</v>
      </c>
      <c r="CH78" s="294" t="e">
        <f t="shared" si="44"/>
        <v>#VALUE!</v>
      </c>
      <c r="CI78" s="290" t="e">
        <f>(CH78/1000000)*'1a. Spredningsmodell input'!$B$49*'1a. Spredningsmodell input'!$C$35</f>
        <v>#VALUE!</v>
      </c>
      <c r="CJ78" s="297" t="e">
        <f>($S78)*EXP(-(Stoff!$N78*365+$U78)*CD78)+CG78</f>
        <v>#VALUE!</v>
      </c>
      <c r="CK78" s="297" t="e">
        <f>(Stoff!$P78*$S78+CI78)*EXP(-$T78*CD78)</f>
        <v>#VALUE!</v>
      </c>
      <c r="CL78" s="297" t="e">
        <f>(CJ78+CK78)*1000000000/('1a. Spredningsmodell input'!$C$36*1000)</f>
        <v>#VALUE!</v>
      </c>
      <c r="CM78" s="297" t="e">
        <f>$G78*(1-EXP(-'1a. Spredningsmodell input'!$B$43*Mellomregninger!CD78))*(1-EXP(-'1a. Spredningsmodell input'!$B$46*Mellomregninger!CD78))</f>
        <v>#VALUE!</v>
      </c>
      <c r="CN78" s="297"/>
      <c r="CO78" s="297"/>
      <c r="CP78" s="290">
        <f>IF(ISNUMBER(AH78),AH78+'1a. Spredningsmodell input'!$C$35,'1a. Spredningsmodell input'!$C$35)</f>
        <v>1</v>
      </c>
      <c r="CQ78" s="294" t="e">
        <f>($S78+$Q78*($O78+$I78*($D78*(1-Stoff!$P78))*(1-EXP(-($F78+Stoff!$L78*365)*CP78)))*(1-EXP(-($N78+Stoff!$M78*365)*CP78)))</f>
        <v>#VALUE!</v>
      </c>
      <c r="CR78" s="294" t="e">
        <f t="shared" si="45"/>
        <v>#VALUE!</v>
      </c>
      <c r="CS78" s="296" t="e">
        <f>(CR78/1000000)*('1a. Spredningsmodell input'!$B$49*'1a. Spredningsmodell input'!$C$35)</f>
        <v>#VALUE!</v>
      </c>
      <c r="CT78" s="294" t="e">
        <f t="shared" si="46"/>
        <v>#VALUE!</v>
      </c>
      <c r="CU78" s="290" t="e">
        <f>(CT78/1000000)*('1a. Spredningsmodell input'!$B$49)*'1a. Spredningsmodell input'!$C$35</f>
        <v>#VALUE!</v>
      </c>
      <c r="CV78" s="297" t="e">
        <f>($S78)*EXP(-(Stoff!$N78*365+$U78)*CP78)+CS78</f>
        <v>#VALUE!</v>
      </c>
      <c r="CW78" s="297" t="e">
        <f>(Stoff!$P78*$S78+CU78)*EXP(-$T78*CP78)</f>
        <v>#VALUE!</v>
      </c>
      <c r="CX78" s="297">
        <f>IF(ISERROR(CV78),0,(CV78+CW78)*1000000000/('1a. Spredningsmodell input'!$C$36*1000))</f>
        <v>0</v>
      </c>
      <c r="CY78" s="297" t="e">
        <f>$G78*(1-EXP(-'1a. Spredningsmodell input'!$B$43*Mellomregninger!CP78))*(1-EXP(-'1a. Spredningsmodell input'!$B$46*Mellomregninger!CP78))</f>
        <v>#VALUE!</v>
      </c>
      <c r="CZ78" s="297"/>
      <c r="DA78" s="297"/>
      <c r="DB78" s="262">
        <f t="shared" si="47"/>
        <v>5</v>
      </c>
      <c r="DC78" s="298" t="e">
        <f>($S78+$Q78*($O78+$I78*($D78*(1-Stoff!$P78))*(1-EXP(-($F78+Stoff!$L78*365)*DB78)))*(1-EXP(-($N78+Stoff!$M78*365)*DB78)))</f>
        <v>#VALUE!</v>
      </c>
      <c r="DD78" s="294" t="e">
        <f t="shared" si="48"/>
        <v>#VALUE!</v>
      </c>
      <c r="DE78" s="296" t="e">
        <f>(DD78/1000000)*('1a. Spredningsmodell input'!$B$49)*'1a. Spredningsmodell input'!$C$35</f>
        <v>#VALUE!</v>
      </c>
      <c r="DF78" s="294" t="e">
        <f t="shared" si="49"/>
        <v>#VALUE!</v>
      </c>
      <c r="DG78" s="290" t="e">
        <f>(DF78/1000000)*('1a. Spredningsmodell input'!$B$49)*'1a. Spredningsmodell input'!$C$35</f>
        <v>#VALUE!</v>
      </c>
      <c r="DH78" s="297" t="e">
        <f>($S78)*EXP(-(Stoff!$N78*365+$U78)*DB78)+DE78</f>
        <v>#VALUE!</v>
      </c>
      <c r="DI78" s="297" t="e">
        <f>(Stoff!$P78*$S78+DG78)*EXP(-$T78*DB78)</f>
        <v>#VALUE!</v>
      </c>
      <c r="DJ78" s="297" t="e">
        <f>(DH78+DI78)*1000000000/('1a. Spredningsmodell input'!$C$36*1000)</f>
        <v>#VALUE!</v>
      </c>
      <c r="DK78" s="297" t="e">
        <f>$G78*(1-EXP(-'1a. Spredningsmodell input'!$B$43*Mellomregninger!DB78))*(1-EXP(-'1a. Spredningsmodell input'!$B$46*Mellomregninger!DB78))</f>
        <v>#VALUE!</v>
      </c>
      <c r="DL78" s="297"/>
      <c r="DM78" s="297"/>
      <c r="DN78" s="262">
        <f t="shared" si="50"/>
        <v>20</v>
      </c>
      <c r="DO78" s="298" t="e">
        <f>($S78+$Q78*($O78+$I78*($D78*(1-Stoff!$P78))*(1-EXP(-($F78+Stoff!$L78*365)*DN78)))*(1-EXP(-($N78+Stoff!$M78*365)*DN78)))</f>
        <v>#VALUE!</v>
      </c>
      <c r="DP78" s="294" t="e">
        <f t="shared" si="51"/>
        <v>#VALUE!</v>
      </c>
      <c r="DQ78" s="296" t="e">
        <f>(DP78/1000000)*('1a. Spredningsmodell input'!$B$49)*'1a. Spredningsmodell input'!$C$35</f>
        <v>#VALUE!</v>
      </c>
      <c r="DR78" s="294" t="e">
        <f t="shared" si="52"/>
        <v>#VALUE!</v>
      </c>
      <c r="DS78" s="290" t="e">
        <f>(DR78/1000000)*('1a. Spredningsmodell input'!$B$49)*'1a. Spredningsmodell input'!$C$35</f>
        <v>#VALUE!</v>
      </c>
      <c r="DT78" s="297" t="e">
        <f>($S78)*EXP(-(Stoff!$N78*365+$U78)*DN78)+DQ78</f>
        <v>#VALUE!</v>
      </c>
      <c r="DU78" s="297" t="e">
        <f>(Stoff!$P78*$S78+DS78)*EXP(-$T78*DN78)</f>
        <v>#VALUE!</v>
      </c>
      <c r="DV78" s="297" t="e">
        <f>(DT78+DU78)*1000000000/('1a. Spredningsmodell input'!$C$36*1000)</f>
        <v>#VALUE!</v>
      </c>
      <c r="DW78" s="297" t="e">
        <f>$G78*(1-EXP(-'1a. Spredningsmodell input'!$B$43*Mellomregninger!DN78))*(1-EXP(-'1a. Spredningsmodell input'!$B$46*Mellomregninger!DN78))</f>
        <v>#VALUE!</v>
      </c>
      <c r="DX78" s="297"/>
      <c r="DY78" s="297"/>
      <c r="DZ78" s="262">
        <f t="shared" si="53"/>
        <v>100</v>
      </c>
      <c r="EA78" s="298" t="e">
        <f>($S78+$Q78*($O78+$I78*($D78*(1-Stoff!$P78))*(1-EXP(-($F78+Stoff!$L78*365)*DZ78)))*(1-EXP(-($N78+Stoff!$M78*365)*DZ78)))</f>
        <v>#VALUE!</v>
      </c>
      <c r="EB78" s="294" t="e">
        <f t="shared" si="54"/>
        <v>#VALUE!</v>
      </c>
      <c r="EC78" s="296" t="e">
        <f>(EB78/1000000)*('1a. Spredningsmodell input'!$B$49)*'1a. Spredningsmodell input'!$C$35</f>
        <v>#VALUE!</v>
      </c>
      <c r="ED78" s="294" t="e">
        <f t="shared" si="55"/>
        <v>#VALUE!</v>
      </c>
      <c r="EE78" s="290" t="e">
        <f>(ED78/1000000)*('1a. Spredningsmodell input'!$B$49)*'1a. Spredningsmodell input'!$C$35</f>
        <v>#VALUE!</v>
      </c>
      <c r="EF78" s="297" t="e">
        <f>($S78)*EXP(-(Stoff!$N78*365+$U78)*DZ78)+EC78</f>
        <v>#VALUE!</v>
      </c>
      <c r="EG78" s="297" t="e">
        <f>(Stoff!$P78*$S78+EE78)*EXP(-$T78*DZ78)</f>
        <v>#VALUE!</v>
      </c>
      <c r="EH78" s="297" t="e">
        <f>(EF78+EG78)*1000000000/('1a. Spredningsmodell input'!$C$36*1000)</f>
        <v>#VALUE!</v>
      </c>
      <c r="EI78" s="297" t="e">
        <f>$G78*(1-EXP(-'1a. Spredningsmodell input'!$B$43*Mellomregninger!DZ78))*(1-EXP(-'1a. Spredningsmodell input'!$B$46*Mellomregninger!DZ78))</f>
        <v>#VALUE!</v>
      </c>
      <c r="EJ78" s="297"/>
      <c r="EK78" s="297"/>
      <c r="EL78" s="262">
        <f t="shared" si="56"/>
        <v>1.0000000000000001E+25</v>
      </c>
      <c r="EM78" s="294" t="e">
        <f>($S78+$Q78*($O78+$I78*($D78*(1-Stoff!$P78))*(1-EXP(-($F78+Stoff!$L78*365)*EL78)))*(1-EXP(-($N78+Stoff!$M78*365)*EL78)))</f>
        <v>#VALUE!</v>
      </c>
      <c r="EN78" s="296" t="e">
        <f>($S78+$Q78*($O78+$I78*($D78*(1-Stoff!$P78))*(1-EXP(-($F78+Stoff!$L78*365)*(EL78-'1a. Spredningsmodell input'!$C$35))))*(1-EXP(-($N78+Stoff!$M78*365)*(EL78-'1a. Spredningsmodell input'!$C$35))))</f>
        <v>#VALUE!</v>
      </c>
      <c r="EO78" s="294" t="e">
        <f>IF(EL78&lt;'1a. Spredningsmodell input'!$C$35,EM78-($S78)*EXP(-(Stoff!$N78*365+$U78)*EL78),EM78-EN78)</f>
        <v>#VALUE!</v>
      </c>
      <c r="EP78" s="290" t="e">
        <f>((($D78*(Stoff!$P78))*(1-EXP(-'1a. Spredningsmodell input'!$B$43*EL78)))*(1-EXP(-'1a. Spredningsmodell input'!$B$46*EL78)))</f>
        <v>#VALUE!</v>
      </c>
      <c r="EQ78" s="294" t="e">
        <f>((($D78*(Stoff!$P78))*(1-EXP(-'1a. Spredningsmodell input'!$B$43*(EL78-'1a. Spredningsmodell input'!$C$35))))*(1-EXP(-'1a. Spredningsmodell input'!$B$46*(EL78-'1a. Spredningsmodell input'!$C$35))))</f>
        <v>#VALUE!</v>
      </c>
      <c r="ER78" s="290" t="e">
        <f>IF(EL78&lt;'1a. Spredningsmodell input'!$C$35,0,EP78-EQ78)</f>
        <v>#VALUE!</v>
      </c>
      <c r="ES78" s="297" t="e">
        <f>($S78)*EXP(-(Stoff!$N78*365+$U78)*EL78)+EO78</f>
        <v>#VALUE!</v>
      </c>
      <c r="ET78" s="297" t="e">
        <f>(Stoff!$P78*$S78+ER78)*EXP(-$T78*EL78)</f>
        <v>#VALUE!</v>
      </c>
      <c r="EU78" s="297" t="e">
        <f>(ES78+ET78)*1000000000/('1a. Spredningsmodell input'!$C$36*1000)</f>
        <v>#VALUE!</v>
      </c>
      <c r="EV78" s="262" t="e">
        <f t="shared" si="57"/>
        <v>#VALUE!</v>
      </c>
      <c r="EW78" s="299" t="e">
        <f t="shared" si="58"/>
        <v>#VALUE!</v>
      </c>
      <c r="EX78" s="262" t="e">
        <f t="shared" si="59"/>
        <v>#VALUE!</v>
      </c>
    </row>
    <row r="79" spans="1:154" x14ac:dyDescent="0.35">
      <c r="A79" s="50" t="s">
        <v>130</v>
      </c>
      <c r="B79" s="34" t="str">
        <f>IF(ISNUMBER('1c. Kons. porevann'!E79),1000*'1c. Kons. porevann'!E79,IF(ISNUMBER('1b. Kons. umettet jord'!E79),1000*'1b. Kons. umettet jord'!E79/C79,""))</f>
        <v/>
      </c>
      <c r="C79" s="244">
        <f>IF(Stoff!B79="uorganisk",Stoff!C79,Stoff!D79*'1a. Spredningsmodell input'!$C$11)</f>
        <v>10.84</v>
      </c>
      <c r="D79" s="34" t="str">
        <f>IF(ISNUMBER(B79),0.000001*('1b. Kons. umettet jord'!G79*'1a. Spredningsmodell input'!$C$12+B79*0.001*'1a. Spredningsmodell input'!$C$14)*1000*'1a. Spredningsmodell input'!$B$41*'1a. Spredningsmodell input'!$C$18,"")</f>
        <v/>
      </c>
      <c r="E79" s="283">
        <f>C79*'1a. Spredningsmodell input'!$C$12/'1a. Spredningsmodell input'!$C$14+1</f>
        <v>93.14</v>
      </c>
      <c r="F79" s="284">
        <f>'1a. Spredningsmodell input'!$B$43/E79</f>
        <v>1.6104788490444489E-2</v>
      </c>
      <c r="G79" s="34" t="e">
        <f>Stoff!P79*Mellomregninger!D79</f>
        <v>#VALUE!</v>
      </c>
      <c r="H79" s="283" t="e">
        <f>(D79-G79)*(F79/(F79+Stoff!L79))</f>
        <v>#VALUE!</v>
      </c>
      <c r="I79" s="283">
        <f>F79/(F79+Stoff!L79)</f>
        <v>1</v>
      </c>
      <c r="J79" s="285" t="str">
        <f>IF(B79="","",IF(ISNUMBER('1d. Kons. mettet sone'!E79),'1d. Kons. mettet sone'!E79,IF(ISNUMBER('1e. Kons. grunnvann'!E79),'1e. Kons. grunnvann'!E79*Mellomregninger!K79,0)))</f>
        <v/>
      </c>
      <c r="K79" s="286">
        <f>IF(Stoff!B79="uorganisk",Stoff!C79,Stoff!D79*'1a. Spredningsmodell input'!$C$24)</f>
        <v>1.0840000000000001</v>
      </c>
      <c r="L79" s="27" t="e">
        <f>IF(ISNUMBER('1e. Kons. grunnvann'!E79),1000*'1e. Kons. grunnvann'!E79,1000*J79/K79)</f>
        <v>#VALUE!</v>
      </c>
      <c r="M79" s="34">
        <f>K79*'1a. Spredningsmodell input'!$C$25/'1a. Spredningsmodell input'!$C$26+1</f>
        <v>5.6069999999999993</v>
      </c>
      <c r="N79" s="284">
        <f>'1a. Spredningsmodell input'!$C$26/M79</f>
        <v>7.1339397182093825E-2</v>
      </c>
      <c r="O79" s="287" t="e">
        <f>0.000000001*(J79*'1a. Spredningsmodell input'!$C$25+L79)*1000*'1a. Spredningsmodell input'!$B$45</f>
        <v>#VALUE!</v>
      </c>
      <c r="P79" s="287" t="e">
        <f>O79*Stoff!P79</f>
        <v>#VALUE!</v>
      </c>
      <c r="Q79" s="287">
        <f>N79/(N79+Stoff!M79)</f>
        <v>1</v>
      </c>
      <c r="R79" s="288">
        <f>IF(ISNUMBER('1f. Kons. resipient'!E79),'1f. Kons. resipient'!E79,0)</f>
        <v>0</v>
      </c>
      <c r="S79" s="288">
        <f>0.000000001*'1a. Spredningsmodell input'!$C$36*R79*1000</f>
        <v>0</v>
      </c>
      <c r="T79" s="288">
        <f>1/'1a. Spredningsmodell input'!$C$35</f>
        <v>1</v>
      </c>
      <c r="U79" s="288">
        <f>1/'1a. Spredningsmodell input'!$C$35</f>
        <v>1</v>
      </c>
      <c r="V79" s="300" t="e">
        <f>(1/($N79+Stoff!$L79))*(LN(($D79*$I79/($D79*$I79+$J79))*($F79+Stoff!$L79+$N79+Stoff!$M79)/($N79+Stoff!$M79)))</f>
        <v>#VALUE!</v>
      </c>
      <c r="W79" s="290" t="e">
        <f>($D79-Stoff!$P79*$D79)*EXP(-($F79+Stoff!$L79*365)*V79)</f>
        <v>#VALUE!</v>
      </c>
      <c r="X79" s="291" t="e">
        <f>(Stoff!$P79*$D79)*EXP(-'1a. Spredningsmodell input'!$B$43*V79)</f>
        <v>#VALUE!</v>
      </c>
      <c r="Y79" s="290" t="e">
        <f>($D79-Stoff!$P79*$D79-W79)*($F79/($F79+Stoff!$L79*365))</f>
        <v>#VALUE!</v>
      </c>
      <c r="Z79" s="290" t="e">
        <f>(Stoff!$P79*$D79)-X79</f>
        <v>#VALUE!</v>
      </c>
      <c r="AA79" s="290" t="e">
        <f>($O79+Y79)*EXP(-($N79+Stoff!$M79*365)*V79)</f>
        <v>#VALUE!</v>
      </c>
      <c r="AB79" s="290" t="e">
        <f>(Stoff!$P79*$O79+Z79)*EXP(-('1a. Spredningsmodell input'!$B$46)*V79)</f>
        <v>#VALUE!</v>
      </c>
      <c r="AC79" s="292" t="e">
        <f>((AA79+AB79)*1000000000)/('1a. Spredningsmodell input'!$B$45*1000)</f>
        <v>#VALUE!</v>
      </c>
      <c r="AD79" s="294" t="e">
        <f>0.001*AC79/('1a. Spredningsmodell input'!$C$25+'1a. Spredningsmodell input'!$C$26/Mellomregninger!$K79)</f>
        <v>#VALUE!</v>
      </c>
      <c r="AE79" s="294" t="e">
        <f>1000*AD79/$K79+AB79*1000000000/('1a. Spredningsmodell input'!$B$45*1000)</f>
        <v>#VALUE!</v>
      </c>
      <c r="AF79" s="294" t="e">
        <f t="shared" si="35"/>
        <v>#VALUE!</v>
      </c>
      <c r="AG79" s="294" t="e">
        <f>AB79*1000000000/('1a. Spredningsmodell input'!$B$45*1000)</f>
        <v>#VALUE!</v>
      </c>
      <c r="AH79" s="300" t="e">
        <f>(1/('1a. Spredningsmodell input'!$B$46))*(LN(($D79*Stoff!$P79/($D79*Stoff!$P79+$P79*Stoff!$P79))*('1a. Spredningsmodell input'!$B$43+'1a. Spredningsmodell input'!$B$46)/('1a. Spredningsmodell input'!$B$46)))</f>
        <v>#VALUE!</v>
      </c>
      <c r="AI79" s="290" t="e">
        <f>($D79-Stoff!$P79*$D79)*EXP(-($F79+Stoff!$L79*365)*AH79)</f>
        <v>#VALUE!</v>
      </c>
      <c r="AJ79" s="291" t="e">
        <f>(Stoff!$P79*$D79)*EXP(-'1a. Spredningsmodell input'!$B$43*AH79)</f>
        <v>#VALUE!</v>
      </c>
      <c r="AK79" s="290" t="e">
        <f>($D79-Stoff!$P79*$D79-AI79)*($F79/($F79+Stoff!$L79*365))</f>
        <v>#VALUE!</v>
      </c>
      <c r="AL79" s="290" t="e">
        <f>(Stoff!$P79*$D79)-AJ79</f>
        <v>#VALUE!</v>
      </c>
      <c r="AM79" s="290" t="e">
        <f>($O79+AK79)*EXP(-($N79+Stoff!$M79*365)*AH79)</f>
        <v>#VALUE!</v>
      </c>
      <c r="AN79" s="290" t="e">
        <f>(Stoff!$P79*$O79+AL79)*EXP(-('1a. Spredningsmodell input'!$B$46)*AH79)</f>
        <v>#VALUE!</v>
      </c>
      <c r="AO79" s="292" t="e">
        <f>((AM79+AN79)*1000000000)/('1a. Spredningsmodell input'!$B$45*1000)</f>
        <v>#VALUE!</v>
      </c>
      <c r="AP79" s="294" t="e">
        <f>0.001*AO79/('1a. Spredningsmodell input'!$C$25+'1a. Spredningsmodell input'!$C$26/Mellomregninger!$K79)</f>
        <v>#VALUE!</v>
      </c>
      <c r="AQ79" s="294" t="e">
        <f>1000*AP79/$K79+AN79*1000000000/('1a. Spredningsmodell input'!$B$45*1000)</f>
        <v>#VALUE!</v>
      </c>
      <c r="AR79" s="294" t="e">
        <f t="shared" si="36"/>
        <v>#VALUE!</v>
      </c>
      <c r="AS79" s="294" t="e">
        <f>AN79*1000000000/('1a. Spredningsmodell input'!$B$45*1000)</f>
        <v>#VALUE!</v>
      </c>
      <c r="AT79" s="295">
        <f t="shared" si="37"/>
        <v>5</v>
      </c>
      <c r="AU79" s="290" t="e">
        <f>($D79-Stoff!$P79*$D79)*EXP(-($F79+Stoff!$L79*365)*AT79)</f>
        <v>#VALUE!</v>
      </c>
      <c r="AV79" s="291" t="e">
        <f>(Stoff!$P79*$D79)*EXP(-'1a. Spredningsmodell input'!$B$43*AT79)</f>
        <v>#VALUE!</v>
      </c>
      <c r="AW79" s="290" t="e">
        <f>($D79-Stoff!$P79*$D79-AU79)*($F79/($F79+Stoff!$L79*365))</f>
        <v>#VALUE!</v>
      </c>
      <c r="AX79" s="290" t="e">
        <f>(Stoff!$P79*$D79)-AV79</f>
        <v>#VALUE!</v>
      </c>
      <c r="AY79" s="290" t="e">
        <f>($O79+AW79)*EXP(-($N79+Stoff!$M79*365)*AT79)</f>
        <v>#VALUE!</v>
      </c>
      <c r="AZ79" s="290" t="e">
        <f>(Stoff!$P79*$O79+AX79)*EXP(-('1a. Spredningsmodell input'!$B$46)*AT79)</f>
        <v>#VALUE!</v>
      </c>
      <c r="BA79" s="292" t="e">
        <f>((AY79+AZ79)*1000000000)/('1a. Spredningsmodell input'!$B$45*1000)</f>
        <v>#VALUE!</v>
      </c>
      <c r="BB79" s="294" t="e">
        <f>0.001*BA79/('1a. Spredningsmodell input'!$C$25+'1a. Spredningsmodell input'!$C$26/Mellomregninger!$K79)</f>
        <v>#VALUE!</v>
      </c>
      <c r="BC79" s="294" t="e">
        <f>1000*BB79/$K79+AZ79*1000000000/('1a. Spredningsmodell input'!$B$45*1000)</f>
        <v>#VALUE!</v>
      </c>
      <c r="BD79" s="294" t="e">
        <f t="shared" si="38"/>
        <v>#VALUE!</v>
      </c>
      <c r="BE79" s="294" t="e">
        <f>AZ79*1000000000/('1a. Spredningsmodell input'!$B$45*1000)</f>
        <v>#VALUE!</v>
      </c>
      <c r="BF79" s="295">
        <f t="shared" si="39"/>
        <v>20</v>
      </c>
      <c r="BG79" s="290" t="e">
        <f>($D79-Stoff!$P79*$D79)*EXP(-($F79+Stoff!$L79*365)*BF79)</f>
        <v>#VALUE!</v>
      </c>
      <c r="BH79" s="291" t="e">
        <f>(Stoff!$P79*$D79)*EXP(-'1a. Spredningsmodell input'!$B$43*BF79)</f>
        <v>#VALUE!</v>
      </c>
      <c r="BI79" s="290" t="e">
        <f>($D79-Stoff!$P79*$D79-BG79)*($F79/($F79+Stoff!$L79*365))</f>
        <v>#VALUE!</v>
      </c>
      <c r="BJ79" s="290" t="e">
        <f>(Stoff!$P79*$D79)-BH79</f>
        <v>#VALUE!</v>
      </c>
      <c r="BK79" s="290" t="e">
        <f>($O79+BI79)*EXP(-($N79+Stoff!$M79*365)*BF79)</f>
        <v>#VALUE!</v>
      </c>
      <c r="BL79" s="290" t="e">
        <f>(Stoff!$P79*$O79+BJ79)*EXP(-('1a. Spredningsmodell input'!$B$46)*BF79)</f>
        <v>#VALUE!</v>
      </c>
      <c r="BM79" s="292" t="e">
        <f>((BK79+BL79)*1000000000)/('1a. Spredningsmodell input'!$B$45*1000)</f>
        <v>#VALUE!</v>
      </c>
      <c r="BN79" s="294" t="e">
        <f>0.001*BM79/('1a. Spredningsmodell input'!$C$25+'1a. Spredningsmodell input'!$C$26/Mellomregninger!$K79)</f>
        <v>#VALUE!</v>
      </c>
      <c r="BO79" s="294" t="e">
        <f>1000*BN79/$K79+BL79*1000000000/('1a. Spredningsmodell input'!$B$45*1000)</f>
        <v>#VALUE!</v>
      </c>
      <c r="BP79" s="294" t="e">
        <f t="shared" si="40"/>
        <v>#VALUE!</v>
      </c>
      <c r="BQ79" s="294" t="e">
        <f>BL79*1000000000/('1a. Spredningsmodell input'!$B$45*1000)</f>
        <v>#VALUE!</v>
      </c>
      <c r="BR79" s="295">
        <f t="shared" si="41"/>
        <v>100</v>
      </c>
      <c r="BS79" s="290" t="e">
        <f>($D79-Stoff!$P79*$D79)*EXP(-($F79+Stoff!$L79*365)*BR79)</f>
        <v>#VALUE!</v>
      </c>
      <c r="BT79" s="291" t="e">
        <f>(Stoff!$P79*$D79)*EXP(-'1a. Spredningsmodell input'!$B$43*BR79)</f>
        <v>#VALUE!</v>
      </c>
      <c r="BU79" s="290" t="e">
        <f>($D79-Stoff!$P79*$D79-BS79)*($F79/($F79+Stoff!$L79*365))</f>
        <v>#VALUE!</v>
      </c>
      <c r="BV79" s="290" t="e">
        <f>(Stoff!$P79*$D79)-BT79</f>
        <v>#VALUE!</v>
      </c>
      <c r="BW79" s="290" t="e">
        <f>($O79+BU79)*EXP(-($N79+Stoff!$M79*365)*BR79)</f>
        <v>#VALUE!</v>
      </c>
      <c r="BX79" s="290" t="e">
        <f>(Stoff!$P79*$O79+BV79)*EXP(-('1a. Spredningsmodell input'!$B$46)*BR79)</f>
        <v>#VALUE!</v>
      </c>
      <c r="BY79" s="292" t="e">
        <f>((BW79+BX79)*1000000000)/('1a. Spredningsmodell input'!$B$45*1000)</f>
        <v>#VALUE!</v>
      </c>
      <c r="BZ79" s="294" t="e">
        <f>0.001*BY79/('1a. Spredningsmodell input'!$C$25+'1a. Spredningsmodell input'!$C$26/Mellomregninger!$K79)</f>
        <v>#VALUE!</v>
      </c>
      <c r="CA79" s="294" t="e">
        <f>1000*BZ79/$K79+BX79*1000000000/('1a. Spredningsmodell input'!$B$45*1000)</f>
        <v>#VALUE!</v>
      </c>
      <c r="CB79" s="294" t="e">
        <f t="shared" si="42"/>
        <v>#VALUE!</v>
      </c>
      <c r="CC79" s="294" t="e">
        <f>BX79*1000000000/('1a. Spredningsmodell input'!$B$45*1000)</f>
        <v>#VALUE!</v>
      </c>
      <c r="CD79" s="294" t="e">
        <f>V79+'1a. Spredningsmodell input'!$C$35</f>
        <v>#VALUE!</v>
      </c>
      <c r="CE79" s="294" t="e">
        <f>($S79+$Q79*($O79+$I79*($D79*(1-Stoff!$P79))*(1-EXP(-($F79+Stoff!$L79*365)*CD79)))*(1-EXP(-($N79+Stoff!$M79*365)*CD79)))</f>
        <v>#VALUE!</v>
      </c>
      <c r="CF79" s="294" t="e">
        <f t="shared" si="43"/>
        <v>#VALUE!</v>
      </c>
      <c r="CG79" s="296" t="e">
        <f>(CF79/1000000)*'1a. Spredningsmodell input'!$B$49*'1a. Spredningsmodell input'!$C$35</f>
        <v>#VALUE!</v>
      </c>
      <c r="CH79" s="294" t="e">
        <f t="shared" si="44"/>
        <v>#VALUE!</v>
      </c>
      <c r="CI79" s="290" t="e">
        <f>(CH79/1000000)*'1a. Spredningsmodell input'!$B$49*'1a. Spredningsmodell input'!$C$35</f>
        <v>#VALUE!</v>
      </c>
      <c r="CJ79" s="297" t="e">
        <f>($S79)*EXP(-(Stoff!$N79*365+$U79)*CD79)+CG79</f>
        <v>#VALUE!</v>
      </c>
      <c r="CK79" s="297" t="e">
        <f>(Stoff!$P79*$S79+CI79)*EXP(-$T79*CD79)</f>
        <v>#VALUE!</v>
      </c>
      <c r="CL79" s="297" t="e">
        <f>(CJ79+CK79)*1000000000/('1a. Spredningsmodell input'!$C$36*1000)</f>
        <v>#VALUE!</v>
      </c>
      <c r="CM79" s="297" t="e">
        <f>$G79*(1-EXP(-'1a. Spredningsmodell input'!$B$43*Mellomregninger!CD79))*(1-EXP(-'1a. Spredningsmodell input'!$B$46*Mellomregninger!CD79))</f>
        <v>#VALUE!</v>
      </c>
      <c r="CN79" s="297"/>
      <c r="CO79" s="297"/>
      <c r="CP79" s="290">
        <f>IF(ISNUMBER(AH79),AH79+'1a. Spredningsmodell input'!$C$35,'1a. Spredningsmodell input'!$C$35)</f>
        <v>1</v>
      </c>
      <c r="CQ79" s="294" t="e">
        <f>($S79+$Q79*($O79+$I79*($D79*(1-Stoff!$P79))*(1-EXP(-($F79+Stoff!$L79*365)*CP79)))*(1-EXP(-($N79+Stoff!$M79*365)*CP79)))</f>
        <v>#VALUE!</v>
      </c>
      <c r="CR79" s="294" t="e">
        <f t="shared" si="45"/>
        <v>#VALUE!</v>
      </c>
      <c r="CS79" s="296" t="e">
        <f>(CR79/1000000)*('1a. Spredningsmodell input'!$B$49*'1a. Spredningsmodell input'!$C$35)</f>
        <v>#VALUE!</v>
      </c>
      <c r="CT79" s="294" t="e">
        <f t="shared" si="46"/>
        <v>#VALUE!</v>
      </c>
      <c r="CU79" s="290" t="e">
        <f>(CT79/1000000)*('1a. Spredningsmodell input'!$B$49)*'1a. Spredningsmodell input'!$C$35</f>
        <v>#VALUE!</v>
      </c>
      <c r="CV79" s="297" t="e">
        <f>($S79)*EXP(-(Stoff!$N79*365+$U79)*CP79)+CS79</f>
        <v>#VALUE!</v>
      </c>
      <c r="CW79" s="297" t="e">
        <f>(Stoff!$P79*$S79+CU79)*EXP(-$T79*CP79)</f>
        <v>#VALUE!</v>
      </c>
      <c r="CX79" s="297">
        <f>IF(ISERROR(CV79),0,(CV79+CW79)*1000000000/('1a. Spredningsmodell input'!$C$36*1000))</f>
        <v>0</v>
      </c>
      <c r="CY79" s="297" t="e">
        <f>$G79*(1-EXP(-'1a. Spredningsmodell input'!$B$43*Mellomregninger!CP79))*(1-EXP(-'1a. Spredningsmodell input'!$B$46*Mellomregninger!CP79))</f>
        <v>#VALUE!</v>
      </c>
      <c r="CZ79" s="297"/>
      <c r="DA79" s="297"/>
      <c r="DB79" s="262">
        <f t="shared" si="47"/>
        <v>5</v>
      </c>
      <c r="DC79" s="298" t="e">
        <f>($S79+$Q79*($O79+$I79*($D79*(1-Stoff!$P79))*(1-EXP(-($F79+Stoff!$L79*365)*DB79)))*(1-EXP(-($N79+Stoff!$M79*365)*DB79)))</f>
        <v>#VALUE!</v>
      </c>
      <c r="DD79" s="294" t="e">
        <f t="shared" si="48"/>
        <v>#VALUE!</v>
      </c>
      <c r="DE79" s="296" t="e">
        <f>(DD79/1000000)*('1a. Spredningsmodell input'!$B$49)*'1a. Spredningsmodell input'!$C$35</f>
        <v>#VALUE!</v>
      </c>
      <c r="DF79" s="294" t="e">
        <f t="shared" si="49"/>
        <v>#VALUE!</v>
      </c>
      <c r="DG79" s="290" t="e">
        <f>(DF79/1000000)*('1a. Spredningsmodell input'!$B$49)*'1a. Spredningsmodell input'!$C$35</f>
        <v>#VALUE!</v>
      </c>
      <c r="DH79" s="297" t="e">
        <f>($S79)*EXP(-(Stoff!$N79*365+$U79)*DB79)+DE79</f>
        <v>#VALUE!</v>
      </c>
      <c r="DI79" s="297" t="e">
        <f>(Stoff!$P79*$S79+DG79)*EXP(-$T79*DB79)</f>
        <v>#VALUE!</v>
      </c>
      <c r="DJ79" s="297" t="e">
        <f>(DH79+DI79)*1000000000/('1a. Spredningsmodell input'!$C$36*1000)</f>
        <v>#VALUE!</v>
      </c>
      <c r="DK79" s="297" t="e">
        <f>$G79*(1-EXP(-'1a. Spredningsmodell input'!$B$43*Mellomregninger!DB79))*(1-EXP(-'1a. Spredningsmodell input'!$B$46*Mellomregninger!DB79))</f>
        <v>#VALUE!</v>
      </c>
      <c r="DL79" s="297"/>
      <c r="DM79" s="297"/>
      <c r="DN79" s="262">
        <f t="shared" si="50"/>
        <v>20</v>
      </c>
      <c r="DO79" s="298" t="e">
        <f>($S79+$Q79*($O79+$I79*($D79*(1-Stoff!$P79))*(1-EXP(-($F79+Stoff!$L79*365)*DN79)))*(1-EXP(-($N79+Stoff!$M79*365)*DN79)))</f>
        <v>#VALUE!</v>
      </c>
      <c r="DP79" s="294" t="e">
        <f t="shared" si="51"/>
        <v>#VALUE!</v>
      </c>
      <c r="DQ79" s="296" t="e">
        <f>(DP79/1000000)*('1a. Spredningsmodell input'!$B$49)*'1a. Spredningsmodell input'!$C$35</f>
        <v>#VALUE!</v>
      </c>
      <c r="DR79" s="294" t="e">
        <f t="shared" si="52"/>
        <v>#VALUE!</v>
      </c>
      <c r="DS79" s="290" t="e">
        <f>(DR79/1000000)*('1a. Spredningsmodell input'!$B$49)*'1a. Spredningsmodell input'!$C$35</f>
        <v>#VALUE!</v>
      </c>
      <c r="DT79" s="297" t="e">
        <f>($S79)*EXP(-(Stoff!$N79*365+$U79)*DN79)+DQ79</f>
        <v>#VALUE!</v>
      </c>
      <c r="DU79" s="297" t="e">
        <f>(Stoff!$P79*$S79+DS79)*EXP(-$T79*DN79)</f>
        <v>#VALUE!</v>
      </c>
      <c r="DV79" s="297" t="e">
        <f>(DT79+DU79)*1000000000/('1a. Spredningsmodell input'!$C$36*1000)</f>
        <v>#VALUE!</v>
      </c>
      <c r="DW79" s="297" t="e">
        <f>$G79*(1-EXP(-'1a. Spredningsmodell input'!$B$43*Mellomregninger!DN79))*(1-EXP(-'1a. Spredningsmodell input'!$B$46*Mellomregninger!DN79))</f>
        <v>#VALUE!</v>
      </c>
      <c r="DX79" s="297"/>
      <c r="DY79" s="297"/>
      <c r="DZ79" s="262">
        <f t="shared" si="53"/>
        <v>100</v>
      </c>
      <c r="EA79" s="298" t="e">
        <f>($S79+$Q79*($O79+$I79*($D79*(1-Stoff!$P79))*(1-EXP(-($F79+Stoff!$L79*365)*DZ79)))*(1-EXP(-($N79+Stoff!$M79*365)*DZ79)))</f>
        <v>#VALUE!</v>
      </c>
      <c r="EB79" s="294" t="e">
        <f t="shared" si="54"/>
        <v>#VALUE!</v>
      </c>
      <c r="EC79" s="296" t="e">
        <f>(EB79/1000000)*('1a. Spredningsmodell input'!$B$49)*'1a. Spredningsmodell input'!$C$35</f>
        <v>#VALUE!</v>
      </c>
      <c r="ED79" s="294" t="e">
        <f t="shared" si="55"/>
        <v>#VALUE!</v>
      </c>
      <c r="EE79" s="290" t="e">
        <f>(ED79/1000000)*('1a. Spredningsmodell input'!$B$49)*'1a. Spredningsmodell input'!$C$35</f>
        <v>#VALUE!</v>
      </c>
      <c r="EF79" s="297" t="e">
        <f>($S79)*EXP(-(Stoff!$N79*365+$U79)*DZ79)+EC79</f>
        <v>#VALUE!</v>
      </c>
      <c r="EG79" s="297" t="e">
        <f>(Stoff!$P79*$S79+EE79)*EXP(-$T79*DZ79)</f>
        <v>#VALUE!</v>
      </c>
      <c r="EH79" s="297" t="e">
        <f>(EF79+EG79)*1000000000/('1a. Spredningsmodell input'!$C$36*1000)</f>
        <v>#VALUE!</v>
      </c>
      <c r="EI79" s="297" t="e">
        <f>$G79*(1-EXP(-'1a. Spredningsmodell input'!$B$43*Mellomregninger!DZ79))*(1-EXP(-'1a. Spredningsmodell input'!$B$46*Mellomregninger!DZ79))</f>
        <v>#VALUE!</v>
      </c>
      <c r="EJ79" s="297"/>
      <c r="EK79" s="297"/>
      <c r="EL79" s="262">
        <f t="shared" si="56"/>
        <v>1.0000000000000001E+25</v>
      </c>
      <c r="EM79" s="294" t="e">
        <f>($S79+$Q79*($O79+$I79*($D79*(1-Stoff!$P79))*(1-EXP(-($F79+Stoff!$L79*365)*EL79)))*(1-EXP(-($N79+Stoff!$M79*365)*EL79)))</f>
        <v>#VALUE!</v>
      </c>
      <c r="EN79" s="296" t="e">
        <f>($S79+$Q79*($O79+$I79*($D79*(1-Stoff!$P79))*(1-EXP(-($F79+Stoff!$L79*365)*(EL79-'1a. Spredningsmodell input'!$C$35))))*(1-EXP(-($N79+Stoff!$M79*365)*(EL79-'1a. Spredningsmodell input'!$C$35))))</f>
        <v>#VALUE!</v>
      </c>
      <c r="EO79" s="294" t="e">
        <f>IF(EL79&lt;'1a. Spredningsmodell input'!$C$35,EM79-($S79)*EXP(-(Stoff!$N79*365+$U79)*EL79),EM79-EN79)</f>
        <v>#VALUE!</v>
      </c>
      <c r="EP79" s="290" t="e">
        <f>((($D79*(Stoff!$P79))*(1-EXP(-'1a. Spredningsmodell input'!$B$43*EL79)))*(1-EXP(-'1a. Spredningsmodell input'!$B$46*EL79)))</f>
        <v>#VALUE!</v>
      </c>
      <c r="EQ79" s="294" t="e">
        <f>((($D79*(Stoff!$P79))*(1-EXP(-'1a. Spredningsmodell input'!$B$43*(EL79-'1a. Spredningsmodell input'!$C$35))))*(1-EXP(-'1a. Spredningsmodell input'!$B$46*(EL79-'1a. Spredningsmodell input'!$C$35))))</f>
        <v>#VALUE!</v>
      </c>
      <c r="ER79" s="290" t="e">
        <f>IF(EL79&lt;'1a. Spredningsmodell input'!$C$35,0,EP79-EQ79)</f>
        <v>#VALUE!</v>
      </c>
      <c r="ES79" s="297" t="e">
        <f>($S79)*EXP(-(Stoff!$N79*365+$U79)*EL79)+EO79</f>
        <v>#VALUE!</v>
      </c>
      <c r="ET79" s="297" t="e">
        <f>(Stoff!$P79*$S79+ER79)*EXP(-$T79*EL79)</f>
        <v>#VALUE!</v>
      </c>
      <c r="EU79" s="297" t="e">
        <f>(ES79+ET79)*1000000000/('1a. Spredningsmodell input'!$C$36*1000)</f>
        <v>#VALUE!</v>
      </c>
      <c r="EV79" s="262" t="e">
        <f t="shared" si="57"/>
        <v>#VALUE!</v>
      </c>
      <c r="EW79" s="299" t="e">
        <f t="shared" si="58"/>
        <v>#VALUE!</v>
      </c>
      <c r="EX79" s="262" t="e">
        <f t="shared" si="59"/>
        <v>#VALUE!</v>
      </c>
    </row>
    <row r="80" spans="1:154" x14ac:dyDescent="0.35">
      <c r="A80" s="50" t="s">
        <v>129</v>
      </c>
      <c r="B80" s="34" t="str">
        <f>IF(ISNUMBER('1c. Kons. porevann'!E80),1000*'1c. Kons. porevann'!E80,IF(ISNUMBER('1b. Kons. umettet jord'!E80),1000*'1b. Kons. umettet jord'!E80/C80,""))</f>
        <v/>
      </c>
      <c r="C80" s="244">
        <f>IF(Stoff!B80="uorganisk",Stoff!C80,Stoff!D80*'1a. Spredningsmodell input'!$C$11)</f>
        <v>19</v>
      </c>
      <c r="D80" s="34" t="str">
        <f>IF(ISNUMBER(B80),0.000001*('1b. Kons. umettet jord'!G80*'1a. Spredningsmodell input'!$C$12+B80*0.001*'1a. Spredningsmodell input'!$C$14)*1000*'1a. Spredningsmodell input'!$B$41*'1a. Spredningsmodell input'!$C$18,"")</f>
        <v/>
      </c>
      <c r="E80" s="283">
        <f>C80*'1a. Spredningsmodell input'!$C$12/'1a. Spredningsmodell input'!$C$14+1</f>
        <v>162.49999999999997</v>
      </c>
      <c r="F80" s="284">
        <f>'1a. Spredningsmodell input'!$B$43/E80</f>
        <v>9.2307692307692316E-3</v>
      </c>
      <c r="G80" s="34" t="e">
        <f>Stoff!P80*Mellomregninger!D80</f>
        <v>#VALUE!</v>
      </c>
      <c r="H80" s="283" t="e">
        <f>(D80-G80)*(F80/(F80+Stoff!L80))</f>
        <v>#VALUE!</v>
      </c>
      <c r="I80" s="283">
        <f>F80/(F80+Stoff!L80)</f>
        <v>1</v>
      </c>
      <c r="J80" s="285" t="str">
        <f>IF(B80="","",IF(ISNUMBER('1d. Kons. mettet sone'!E80),'1d. Kons. mettet sone'!E80,IF(ISNUMBER('1e. Kons. grunnvann'!E80),'1e. Kons. grunnvann'!E80*Mellomregninger!K80,0)))</f>
        <v/>
      </c>
      <c r="K80" s="286">
        <f>IF(Stoff!B80="uorganisk",Stoff!C80,Stoff!D80*'1a. Spredningsmodell input'!$C$24)</f>
        <v>1.9000000000000001</v>
      </c>
      <c r="L80" s="27" t="e">
        <f>IF(ISNUMBER('1e. Kons. grunnvann'!E80),1000*'1e. Kons. grunnvann'!E80,1000*J80/K80)</f>
        <v>#VALUE!</v>
      </c>
      <c r="M80" s="34">
        <f>K80*'1a. Spredningsmodell input'!$C$25/'1a. Spredningsmodell input'!$C$26+1</f>
        <v>9.0749999999999993</v>
      </c>
      <c r="N80" s="284">
        <f>'1a. Spredningsmodell input'!$C$26/M80</f>
        <v>4.4077134986225903E-2</v>
      </c>
      <c r="O80" s="287" t="e">
        <f>0.000000001*(J80*'1a. Spredningsmodell input'!$C$25+L80)*1000*'1a. Spredningsmodell input'!$B$45</f>
        <v>#VALUE!</v>
      </c>
      <c r="P80" s="287" t="e">
        <f>O80*Stoff!P80</f>
        <v>#VALUE!</v>
      </c>
      <c r="Q80" s="287">
        <f>N80/(N80+Stoff!M80)</f>
        <v>1</v>
      </c>
      <c r="R80" s="288">
        <f>IF(ISNUMBER('1f. Kons. resipient'!E80),'1f. Kons. resipient'!E80,0)</f>
        <v>0</v>
      </c>
      <c r="S80" s="288">
        <f>0.000000001*'1a. Spredningsmodell input'!$C$36*R80*1000</f>
        <v>0</v>
      </c>
      <c r="T80" s="288">
        <f>1/'1a. Spredningsmodell input'!$C$35</f>
        <v>1</v>
      </c>
      <c r="U80" s="288">
        <f>1/'1a. Spredningsmodell input'!$C$35</f>
        <v>1</v>
      </c>
      <c r="V80" s="300" t="e">
        <f>(1/($N80+Stoff!$L80))*(LN(($D80*$I80/($D80*$I80+$J80))*($F80+Stoff!$L80+$N80+Stoff!$M80)/($N80+Stoff!$M80)))</f>
        <v>#VALUE!</v>
      </c>
      <c r="W80" s="290" t="e">
        <f>($D80-Stoff!$P80*$D80)*EXP(-($F80+Stoff!$L80*365)*V80)</f>
        <v>#VALUE!</v>
      </c>
      <c r="X80" s="291" t="e">
        <f>(Stoff!$P80*$D80)*EXP(-'1a. Spredningsmodell input'!$B$43*V80)</f>
        <v>#VALUE!</v>
      </c>
      <c r="Y80" s="290" t="e">
        <f>($D80-Stoff!$P80*$D80-W80)*($F80/($F80+Stoff!$L80*365))</f>
        <v>#VALUE!</v>
      </c>
      <c r="Z80" s="290" t="e">
        <f>(Stoff!$P80*$D80)-X80</f>
        <v>#VALUE!</v>
      </c>
      <c r="AA80" s="290" t="e">
        <f>($O80+Y80)*EXP(-($N80+Stoff!$M80*365)*V80)</f>
        <v>#VALUE!</v>
      </c>
      <c r="AB80" s="290" t="e">
        <f>(Stoff!$P80*$O80+Z80)*EXP(-('1a. Spredningsmodell input'!$B$46)*V80)</f>
        <v>#VALUE!</v>
      </c>
      <c r="AC80" s="292" t="e">
        <f>((AA80+AB80)*1000000000)/('1a. Spredningsmodell input'!$B$45*1000)</f>
        <v>#VALUE!</v>
      </c>
      <c r="AD80" s="294" t="e">
        <f>0.001*AC80/('1a. Spredningsmodell input'!$C$25+'1a. Spredningsmodell input'!$C$26/Mellomregninger!$K80)</f>
        <v>#VALUE!</v>
      </c>
      <c r="AE80" s="294" t="e">
        <f>1000*AD80/$K80+AB80*1000000000/('1a. Spredningsmodell input'!$B$45*1000)</f>
        <v>#VALUE!</v>
      </c>
      <c r="AF80" s="294" t="e">
        <f t="shared" si="35"/>
        <v>#VALUE!</v>
      </c>
      <c r="AG80" s="294" t="e">
        <f>AB80*1000000000/('1a. Spredningsmodell input'!$B$45*1000)</f>
        <v>#VALUE!</v>
      </c>
      <c r="AH80" s="300" t="e">
        <f>(1/('1a. Spredningsmodell input'!$B$46))*(LN(($D80*Stoff!$P80/($D80*Stoff!$P80+$P80*Stoff!$P80))*('1a. Spredningsmodell input'!$B$43+'1a. Spredningsmodell input'!$B$46)/('1a. Spredningsmodell input'!$B$46)))</f>
        <v>#VALUE!</v>
      </c>
      <c r="AI80" s="290" t="e">
        <f>($D80-Stoff!$P80*$D80)*EXP(-($F80+Stoff!$L80*365)*AH80)</f>
        <v>#VALUE!</v>
      </c>
      <c r="AJ80" s="291" t="e">
        <f>(Stoff!$P80*$D80)*EXP(-'1a. Spredningsmodell input'!$B$43*AH80)</f>
        <v>#VALUE!</v>
      </c>
      <c r="AK80" s="290" t="e">
        <f>($D80-Stoff!$P80*$D80-AI80)*($F80/($F80+Stoff!$L80*365))</f>
        <v>#VALUE!</v>
      </c>
      <c r="AL80" s="290" t="e">
        <f>(Stoff!$P80*$D80)-AJ80</f>
        <v>#VALUE!</v>
      </c>
      <c r="AM80" s="290" t="e">
        <f>($O80+AK80)*EXP(-($N80+Stoff!$M80*365)*AH80)</f>
        <v>#VALUE!</v>
      </c>
      <c r="AN80" s="290" t="e">
        <f>(Stoff!$P80*$O80+AL80)*EXP(-('1a. Spredningsmodell input'!$B$46)*AH80)</f>
        <v>#VALUE!</v>
      </c>
      <c r="AO80" s="292" t="e">
        <f>((AM80+AN80)*1000000000)/('1a. Spredningsmodell input'!$B$45*1000)</f>
        <v>#VALUE!</v>
      </c>
      <c r="AP80" s="294" t="e">
        <f>0.001*AO80/('1a. Spredningsmodell input'!$C$25+'1a. Spredningsmodell input'!$C$26/Mellomregninger!$K80)</f>
        <v>#VALUE!</v>
      </c>
      <c r="AQ80" s="294" t="e">
        <f>1000*AP80/$K80+AN80*1000000000/('1a. Spredningsmodell input'!$B$45*1000)</f>
        <v>#VALUE!</v>
      </c>
      <c r="AR80" s="294" t="e">
        <f t="shared" si="36"/>
        <v>#VALUE!</v>
      </c>
      <c r="AS80" s="294" t="e">
        <f>AN80*1000000000/('1a. Spredningsmodell input'!$B$45*1000)</f>
        <v>#VALUE!</v>
      </c>
      <c r="AT80" s="295">
        <f t="shared" si="37"/>
        <v>5</v>
      </c>
      <c r="AU80" s="290" t="e">
        <f>($D80-Stoff!$P80*$D80)*EXP(-($F80+Stoff!$L80*365)*AT80)</f>
        <v>#VALUE!</v>
      </c>
      <c r="AV80" s="291" t="e">
        <f>(Stoff!$P80*$D80)*EXP(-'1a. Spredningsmodell input'!$B$43*AT80)</f>
        <v>#VALUE!</v>
      </c>
      <c r="AW80" s="290" t="e">
        <f>($D80-Stoff!$P80*$D80-AU80)*($F80/($F80+Stoff!$L80*365))</f>
        <v>#VALUE!</v>
      </c>
      <c r="AX80" s="290" t="e">
        <f>(Stoff!$P80*$D80)-AV80</f>
        <v>#VALUE!</v>
      </c>
      <c r="AY80" s="290" t="e">
        <f>($O80+AW80)*EXP(-($N80+Stoff!$M80*365)*AT80)</f>
        <v>#VALUE!</v>
      </c>
      <c r="AZ80" s="290" t="e">
        <f>(Stoff!$P80*$O80+AX80)*EXP(-('1a. Spredningsmodell input'!$B$46)*AT80)</f>
        <v>#VALUE!</v>
      </c>
      <c r="BA80" s="292" t="e">
        <f>((AY80+AZ80)*1000000000)/('1a. Spredningsmodell input'!$B$45*1000)</f>
        <v>#VALUE!</v>
      </c>
      <c r="BB80" s="294" t="e">
        <f>0.001*BA80/('1a. Spredningsmodell input'!$C$25+'1a. Spredningsmodell input'!$C$26/Mellomregninger!$K80)</f>
        <v>#VALUE!</v>
      </c>
      <c r="BC80" s="294" t="e">
        <f>1000*BB80/$K80+AZ80*1000000000/('1a. Spredningsmodell input'!$B$45*1000)</f>
        <v>#VALUE!</v>
      </c>
      <c r="BD80" s="294" t="e">
        <f t="shared" si="38"/>
        <v>#VALUE!</v>
      </c>
      <c r="BE80" s="294" t="e">
        <f>AZ80*1000000000/('1a. Spredningsmodell input'!$B$45*1000)</f>
        <v>#VALUE!</v>
      </c>
      <c r="BF80" s="295">
        <f t="shared" si="39"/>
        <v>20</v>
      </c>
      <c r="BG80" s="290" t="e">
        <f>($D80-Stoff!$P80*$D80)*EXP(-($F80+Stoff!$L80*365)*BF80)</f>
        <v>#VALUE!</v>
      </c>
      <c r="BH80" s="291" t="e">
        <f>(Stoff!$P80*$D80)*EXP(-'1a. Spredningsmodell input'!$B$43*BF80)</f>
        <v>#VALUE!</v>
      </c>
      <c r="BI80" s="290" t="e">
        <f>($D80-Stoff!$P80*$D80-BG80)*($F80/($F80+Stoff!$L80*365))</f>
        <v>#VALUE!</v>
      </c>
      <c r="BJ80" s="290" t="e">
        <f>(Stoff!$P80*$D80)-BH80</f>
        <v>#VALUE!</v>
      </c>
      <c r="BK80" s="290" t="e">
        <f>($O80+BI80)*EXP(-($N80+Stoff!$M80*365)*BF80)</f>
        <v>#VALUE!</v>
      </c>
      <c r="BL80" s="290" t="e">
        <f>(Stoff!$P80*$O80+BJ80)*EXP(-('1a. Spredningsmodell input'!$B$46)*BF80)</f>
        <v>#VALUE!</v>
      </c>
      <c r="BM80" s="292" t="e">
        <f>((BK80+BL80)*1000000000)/('1a. Spredningsmodell input'!$B$45*1000)</f>
        <v>#VALUE!</v>
      </c>
      <c r="BN80" s="294" t="e">
        <f>0.001*BM80/('1a. Spredningsmodell input'!$C$25+'1a. Spredningsmodell input'!$C$26/Mellomregninger!$K80)</f>
        <v>#VALUE!</v>
      </c>
      <c r="BO80" s="294" t="e">
        <f>1000*BN80/$K80+BL80*1000000000/('1a. Spredningsmodell input'!$B$45*1000)</f>
        <v>#VALUE!</v>
      </c>
      <c r="BP80" s="294" t="e">
        <f t="shared" si="40"/>
        <v>#VALUE!</v>
      </c>
      <c r="BQ80" s="294" t="e">
        <f>BL80*1000000000/('1a. Spredningsmodell input'!$B$45*1000)</f>
        <v>#VALUE!</v>
      </c>
      <c r="BR80" s="295">
        <f t="shared" si="41"/>
        <v>100</v>
      </c>
      <c r="BS80" s="290" t="e">
        <f>($D80-Stoff!$P80*$D80)*EXP(-($F80+Stoff!$L80*365)*BR80)</f>
        <v>#VALUE!</v>
      </c>
      <c r="BT80" s="291" t="e">
        <f>(Stoff!$P80*$D80)*EXP(-'1a. Spredningsmodell input'!$B$43*BR80)</f>
        <v>#VALUE!</v>
      </c>
      <c r="BU80" s="290" t="e">
        <f>($D80-Stoff!$P80*$D80-BS80)*($F80/($F80+Stoff!$L80*365))</f>
        <v>#VALUE!</v>
      </c>
      <c r="BV80" s="290" t="e">
        <f>(Stoff!$P80*$D80)-BT80</f>
        <v>#VALUE!</v>
      </c>
      <c r="BW80" s="290" t="e">
        <f>($O80+BU80)*EXP(-($N80+Stoff!$M80*365)*BR80)</f>
        <v>#VALUE!</v>
      </c>
      <c r="BX80" s="290" t="e">
        <f>(Stoff!$P80*$O80+BV80)*EXP(-('1a. Spredningsmodell input'!$B$46)*BR80)</f>
        <v>#VALUE!</v>
      </c>
      <c r="BY80" s="292" t="e">
        <f>((BW80+BX80)*1000000000)/('1a. Spredningsmodell input'!$B$45*1000)</f>
        <v>#VALUE!</v>
      </c>
      <c r="BZ80" s="294" t="e">
        <f>0.001*BY80/('1a. Spredningsmodell input'!$C$25+'1a. Spredningsmodell input'!$C$26/Mellomregninger!$K80)</f>
        <v>#VALUE!</v>
      </c>
      <c r="CA80" s="294" t="e">
        <f>1000*BZ80/$K80+BX80*1000000000/('1a. Spredningsmodell input'!$B$45*1000)</f>
        <v>#VALUE!</v>
      </c>
      <c r="CB80" s="294" t="e">
        <f t="shared" si="42"/>
        <v>#VALUE!</v>
      </c>
      <c r="CC80" s="294" t="e">
        <f>BX80*1000000000/('1a. Spredningsmodell input'!$B$45*1000)</f>
        <v>#VALUE!</v>
      </c>
      <c r="CD80" s="294" t="e">
        <f>V80+'1a. Spredningsmodell input'!$C$35</f>
        <v>#VALUE!</v>
      </c>
      <c r="CE80" s="294" t="e">
        <f>($S80+$Q80*($O80+$I80*($D80*(1-Stoff!$P80))*(1-EXP(-($F80+Stoff!$L80*365)*CD80)))*(1-EXP(-($N80+Stoff!$M80*365)*CD80)))</f>
        <v>#VALUE!</v>
      </c>
      <c r="CF80" s="294" t="e">
        <f t="shared" si="43"/>
        <v>#VALUE!</v>
      </c>
      <c r="CG80" s="296" t="e">
        <f>(CF80/1000000)*'1a. Spredningsmodell input'!$B$49*'1a. Spredningsmodell input'!$C$35</f>
        <v>#VALUE!</v>
      </c>
      <c r="CH80" s="294" t="e">
        <f t="shared" si="44"/>
        <v>#VALUE!</v>
      </c>
      <c r="CI80" s="290" t="e">
        <f>(CH80/1000000)*'1a. Spredningsmodell input'!$B$49*'1a. Spredningsmodell input'!$C$35</f>
        <v>#VALUE!</v>
      </c>
      <c r="CJ80" s="297" t="e">
        <f>($S80)*EXP(-(Stoff!$N80*365+$U80)*CD80)+CG80</f>
        <v>#VALUE!</v>
      </c>
      <c r="CK80" s="297" t="e">
        <f>(Stoff!$P80*$S80+CI80)*EXP(-$T80*CD80)</f>
        <v>#VALUE!</v>
      </c>
      <c r="CL80" s="297" t="e">
        <f>(CJ80+CK80)*1000000000/('1a. Spredningsmodell input'!$C$36*1000)</f>
        <v>#VALUE!</v>
      </c>
      <c r="CM80" s="297" t="e">
        <f>$G80*(1-EXP(-'1a. Spredningsmodell input'!$B$43*Mellomregninger!CD80))*(1-EXP(-'1a. Spredningsmodell input'!$B$46*Mellomregninger!CD80))</f>
        <v>#VALUE!</v>
      </c>
      <c r="CN80" s="297"/>
      <c r="CO80" s="297"/>
      <c r="CP80" s="290">
        <f>IF(ISNUMBER(AH80),AH80+'1a. Spredningsmodell input'!$C$35,'1a. Spredningsmodell input'!$C$35)</f>
        <v>1</v>
      </c>
      <c r="CQ80" s="294" t="e">
        <f>($S80+$Q80*($O80+$I80*($D80*(1-Stoff!$P80))*(1-EXP(-($F80+Stoff!$L80*365)*CP80)))*(1-EXP(-($N80+Stoff!$M80*365)*CP80)))</f>
        <v>#VALUE!</v>
      </c>
      <c r="CR80" s="294" t="e">
        <f t="shared" si="45"/>
        <v>#VALUE!</v>
      </c>
      <c r="CS80" s="296" t="e">
        <f>(CR80/1000000)*('1a. Spredningsmodell input'!$B$49*'1a. Spredningsmodell input'!$C$35)</f>
        <v>#VALUE!</v>
      </c>
      <c r="CT80" s="294" t="e">
        <f t="shared" si="46"/>
        <v>#VALUE!</v>
      </c>
      <c r="CU80" s="290" t="e">
        <f>(CT80/1000000)*('1a. Spredningsmodell input'!$B$49)*'1a. Spredningsmodell input'!$C$35</f>
        <v>#VALUE!</v>
      </c>
      <c r="CV80" s="297" t="e">
        <f>($S80)*EXP(-(Stoff!$N80*365+$U80)*CP80)+CS80</f>
        <v>#VALUE!</v>
      </c>
      <c r="CW80" s="297" t="e">
        <f>(Stoff!$P80*$S80+CU80)*EXP(-$T80*CP80)</f>
        <v>#VALUE!</v>
      </c>
      <c r="CX80" s="297">
        <f>IF(ISERROR(CV80),0,(CV80+CW80)*1000000000/('1a. Spredningsmodell input'!$C$36*1000))</f>
        <v>0</v>
      </c>
      <c r="CY80" s="297" t="e">
        <f>$G80*(1-EXP(-'1a. Spredningsmodell input'!$B$43*Mellomregninger!CP80))*(1-EXP(-'1a. Spredningsmodell input'!$B$46*Mellomregninger!CP80))</f>
        <v>#VALUE!</v>
      </c>
      <c r="CZ80" s="297"/>
      <c r="DA80" s="297"/>
      <c r="DB80" s="262">
        <f t="shared" si="47"/>
        <v>5</v>
      </c>
      <c r="DC80" s="298" t="e">
        <f>($S80+$Q80*($O80+$I80*($D80*(1-Stoff!$P80))*(1-EXP(-($F80+Stoff!$L80*365)*DB80)))*(1-EXP(-($N80+Stoff!$M80*365)*DB80)))</f>
        <v>#VALUE!</v>
      </c>
      <c r="DD80" s="294" t="e">
        <f t="shared" si="48"/>
        <v>#VALUE!</v>
      </c>
      <c r="DE80" s="296" t="e">
        <f>(DD80/1000000)*('1a. Spredningsmodell input'!$B$49)*'1a. Spredningsmodell input'!$C$35</f>
        <v>#VALUE!</v>
      </c>
      <c r="DF80" s="294" t="e">
        <f t="shared" si="49"/>
        <v>#VALUE!</v>
      </c>
      <c r="DG80" s="290" t="e">
        <f>(DF80/1000000)*('1a. Spredningsmodell input'!$B$49)*'1a. Spredningsmodell input'!$C$35</f>
        <v>#VALUE!</v>
      </c>
      <c r="DH80" s="297" t="e">
        <f>($S80)*EXP(-(Stoff!$N80*365+$U80)*DB80)+DE80</f>
        <v>#VALUE!</v>
      </c>
      <c r="DI80" s="297" t="e">
        <f>(Stoff!$P80*$S80+DG80)*EXP(-$T80*DB80)</f>
        <v>#VALUE!</v>
      </c>
      <c r="DJ80" s="297" t="e">
        <f>(DH80+DI80)*1000000000/('1a. Spredningsmodell input'!$C$36*1000)</f>
        <v>#VALUE!</v>
      </c>
      <c r="DK80" s="297" t="e">
        <f>$G80*(1-EXP(-'1a. Spredningsmodell input'!$B$43*Mellomregninger!DB80))*(1-EXP(-'1a. Spredningsmodell input'!$B$46*Mellomregninger!DB80))</f>
        <v>#VALUE!</v>
      </c>
      <c r="DL80" s="297"/>
      <c r="DM80" s="297"/>
      <c r="DN80" s="262">
        <f t="shared" si="50"/>
        <v>20</v>
      </c>
      <c r="DO80" s="298" t="e">
        <f>($S80+$Q80*($O80+$I80*($D80*(1-Stoff!$P80))*(1-EXP(-($F80+Stoff!$L80*365)*DN80)))*(1-EXP(-($N80+Stoff!$M80*365)*DN80)))</f>
        <v>#VALUE!</v>
      </c>
      <c r="DP80" s="294" t="e">
        <f t="shared" si="51"/>
        <v>#VALUE!</v>
      </c>
      <c r="DQ80" s="296" t="e">
        <f>(DP80/1000000)*('1a. Spredningsmodell input'!$B$49)*'1a. Spredningsmodell input'!$C$35</f>
        <v>#VALUE!</v>
      </c>
      <c r="DR80" s="294" t="e">
        <f t="shared" si="52"/>
        <v>#VALUE!</v>
      </c>
      <c r="DS80" s="290" t="e">
        <f>(DR80/1000000)*('1a. Spredningsmodell input'!$B$49)*'1a. Spredningsmodell input'!$C$35</f>
        <v>#VALUE!</v>
      </c>
      <c r="DT80" s="297" t="e">
        <f>($S80)*EXP(-(Stoff!$N80*365+$U80)*DN80)+DQ80</f>
        <v>#VALUE!</v>
      </c>
      <c r="DU80" s="297" t="e">
        <f>(Stoff!$P80*$S80+DS80)*EXP(-$T80*DN80)</f>
        <v>#VALUE!</v>
      </c>
      <c r="DV80" s="297" t="e">
        <f>(DT80+DU80)*1000000000/('1a. Spredningsmodell input'!$C$36*1000)</f>
        <v>#VALUE!</v>
      </c>
      <c r="DW80" s="297" t="e">
        <f>$G80*(1-EXP(-'1a. Spredningsmodell input'!$B$43*Mellomregninger!DN80))*(1-EXP(-'1a. Spredningsmodell input'!$B$46*Mellomregninger!DN80))</f>
        <v>#VALUE!</v>
      </c>
      <c r="DX80" s="297"/>
      <c r="DY80" s="297"/>
      <c r="DZ80" s="262">
        <f t="shared" si="53"/>
        <v>100</v>
      </c>
      <c r="EA80" s="298" t="e">
        <f>($S80+$Q80*($O80+$I80*($D80*(1-Stoff!$P80))*(1-EXP(-($F80+Stoff!$L80*365)*DZ80)))*(1-EXP(-($N80+Stoff!$M80*365)*DZ80)))</f>
        <v>#VALUE!</v>
      </c>
      <c r="EB80" s="294" t="e">
        <f t="shared" si="54"/>
        <v>#VALUE!</v>
      </c>
      <c r="EC80" s="296" t="e">
        <f>(EB80/1000000)*('1a. Spredningsmodell input'!$B$49)*'1a. Spredningsmodell input'!$C$35</f>
        <v>#VALUE!</v>
      </c>
      <c r="ED80" s="294" t="e">
        <f t="shared" si="55"/>
        <v>#VALUE!</v>
      </c>
      <c r="EE80" s="290" t="e">
        <f>(ED80/1000000)*('1a. Spredningsmodell input'!$B$49)*'1a. Spredningsmodell input'!$C$35</f>
        <v>#VALUE!</v>
      </c>
      <c r="EF80" s="297" t="e">
        <f>($S80)*EXP(-(Stoff!$N80*365+$U80)*DZ80)+EC80</f>
        <v>#VALUE!</v>
      </c>
      <c r="EG80" s="297" t="e">
        <f>(Stoff!$P80*$S80+EE80)*EXP(-$T80*DZ80)</f>
        <v>#VALUE!</v>
      </c>
      <c r="EH80" s="297" t="e">
        <f>(EF80+EG80)*1000000000/('1a. Spredningsmodell input'!$C$36*1000)</f>
        <v>#VALUE!</v>
      </c>
      <c r="EI80" s="297" t="e">
        <f>$G80*(1-EXP(-'1a. Spredningsmodell input'!$B$43*Mellomregninger!DZ80))*(1-EXP(-'1a. Spredningsmodell input'!$B$46*Mellomregninger!DZ80))</f>
        <v>#VALUE!</v>
      </c>
      <c r="EJ80" s="297"/>
      <c r="EK80" s="297"/>
      <c r="EL80" s="262">
        <f t="shared" si="56"/>
        <v>1.0000000000000001E+25</v>
      </c>
      <c r="EM80" s="294" t="e">
        <f>($S80+$Q80*($O80+$I80*($D80*(1-Stoff!$P80))*(1-EXP(-($F80+Stoff!$L80*365)*EL80)))*(1-EXP(-($N80+Stoff!$M80*365)*EL80)))</f>
        <v>#VALUE!</v>
      </c>
      <c r="EN80" s="296" t="e">
        <f>($S80+$Q80*($O80+$I80*($D80*(1-Stoff!$P80))*(1-EXP(-($F80+Stoff!$L80*365)*(EL80-'1a. Spredningsmodell input'!$C$35))))*(1-EXP(-($N80+Stoff!$M80*365)*(EL80-'1a. Spredningsmodell input'!$C$35))))</f>
        <v>#VALUE!</v>
      </c>
      <c r="EO80" s="294" t="e">
        <f>IF(EL80&lt;'1a. Spredningsmodell input'!$C$35,EM80-($S80)*EXP(-(Stoff!$N80*365+$U80)*EL80),EM80-EN80)</f>
        <v>#VALUE!</v>
      </c>
      <c r="EP80" s="290" t="e">
        <f>((($D80*(Stoff!$P80))*(1-EXP(-'1a. Spredningsmodell input'!$B$43*EL80)))*(1-EXP(-'1a. Spredningsmodell input'!$B$46*EL80)))</f>
        <v>#VALUE!</v>
      </c>
      <c r="EQ80" s="294" t="e">
        <f>((($D80*(Stoff!$P80))*(1-EXP(-'1a. Spredningsmodell input'!$B$43*(EL80-'1a. Spredningsmodell input'!$C$35))))*(1-EXP(-'1a. Spredningsmodell input'!$B$46*(EL80-'1a. Spredningsmodell input'!$C$35))))</f>
        <v>#VALUE!</v>
      </c>
      <c r="ER80" s="290" t="e">
        <f>IF(EL80&lt;'1a. Spredningsmodell input'!$C$35,0,EP80-EQ80)</f>
        <v>#VALUE!</v>
      </c>
      <c r="ES80" s="297" t="e">
        <f>($S80)*EXP(-(Stoff!$N80*365+$U80)*EL80)+EO80</f>
        <v>#VALUE!</v>
      </c>
      <c r="ET80" s="297" t="e">
        <f>(Stoff!$P80*$S80+ER80)*EXP(-$T80*EL80)</f>
        <v>#VALUE!</v>
      </c>
      <c r="EU80" s="297" t="e">
        <f>(ES80+ET80)*1000000000/('1a. Spredningsmodell input'!$C$36*1000)</f>
        <v>#VALUE!</v>
      </c>
      <c r="EV80" s="262" t="e">
        <f t="shared" si="57"/>
        <v>#VALUE!</v>
      </c>
      <c r="EW80" s="299" t="e">
        <f t="shared" si="58"/>
        <v>#VALUE!</v>
      </c>
      <c r="EX80" s="262" t="e">
        <f t="shared" si="59"/>
        <v>#VALUE!</v>
      </c>
    </row>
    <row r="81" spans="1:154" x14ac:dyDescent="0.35">
      <c r="A81" s="50" t="s">
        <v>128</v>
      </c>
      <c r="B81" s="34" t="str">
        <f>IF(ISNUMBER('1c. Kons. porevann'!E81),1000*'1c. Kons. porevann'!E81,IF(ISNUMBER('1b. Kons. umettet jord'!E81),1000*'1b. Kons. umettet jord'!E81/C81,""))</f>
        <v/>
      </c>
      <c r="C81" s="244">
        <f>IF(Stoff!B81="uorganisk",Stoff!C81,Stoff!D81*'1a. Spredningsmodell input'!$C$11)</f>
        <v>1650</v>
      </c>
      <c r="D81" s="34" t="str">
        <f>IF(ISNUMBER(B81),0.000001*('1b. Kons. umettet jord'!G81*'1a. Spredningsmodell input'!$C$12+B81*0.001*'1a. Spredningsmodell input'!$C$14)*1000*'1a. Spredningsmodell input'!$B$41*'1a. Spredningsmodell input'!$C$18,"")</f>
        <v/>
      </c>
      <c r="E81" s="283">
        <f>C81*'1a. Spredningsmodell input'!$C$12/'1a. Spredningsmodell input'!$C$14+1</f>
        <v>14026</v>
      </c>
      <c r="F81" s="284">
        <f>'1a. Spredningsmodell input'!$B$43/E81</f>
        <v>1.0694424639954368E-4</v>
      </c>
      <c r="G81" s="34" t="e">
        <f>Stoff!P81*Mellomregninger!D81</f>
        <v>#VALUE!</v>
      </c>
      <c r="H81" s="283" t="e">
        <f>(D81-G81)*(F81/(F81+Stoff!L81))</f>
        <v>#VALUE!</v>
      </c>
      <c r="I81" s="283">
        <f>F81/(F81+Stoff!L81)</f>
        <v>1</v>
      </c>
      <c r="J81" s="285" t="str">
        <f>IF(B81="","",IF(ISNUMBER('1d. Kons. mettet sone'!E81),'1d. Kons. mettet sone'!E81,IF(ISNUMBER('1e. Kons. grunnvann'!E81),'1e. Kons. grunnvann'!E81*Mellomregninger!K81,0)))</f>
        <v/>
      </c>
      <c r="K81" s="286">
        <f>IF(Stoff!B81="uorganisk",Stoff!C81,Stoff!D81*'1a. Spredningsmodell input'!$C$24)</f>
        <v>165</v>
      </c>
      <c r="L81" s="27" t="e">
        <f>IF(ISNUMBER('1e. Kons. grunnvann'!E81),1000*'1e. Kons. grunnvann'!E81,1000*J81/K81)</f>
        <v>#VALUE!</v>
      </c>
      <c r="M81" s="34">
        <f>K81*'1a. Spredningsmodell input'!$C$25/'1a. Spredningsmodell input'!$C$26+1</f>
        <v>702.25</v>
      </c>
      <c r="N81" s="284">
        <f>'1a. Spredningsmodell input'!$C$26/M81</f>
        <v>5.6959772160911364E-4</v>
      </c>
      <c r="O81" s="287" t="e">
        <f>0.000000001*(J81*'1a. Spredningsmodell input'!$C$25+L81)*1000*'1a. Spredningsmodell input'!$B$45</f>
        <v>#VALUE!</v>
      </c>
      <c r="P81" s="287" t="e">
        <f>O81*Stoff!P81</f>
        <v>#VALUE!</v>
      </c>
      <c r="Q81" s="287">
        <f>N81/(N81+Stoff!M81)</f>
        <v>1</v>
      </c>
      <c r="R81" s="288">
        <f>IF(ISNUMBER('1f. Kons. resipient'!E81),'1f. Kons. resipient'!E81,0)</f>
        <v>0</v>
      </c>
      <c r="S81" s="288">
        <f>0.000000001*'1a. Spredningsmodell input'!$C$36*R81*1000</f>
        <v>0</v>
      </c>
      <c r="T81" s="288">
        <f>1/'1a. Spredningsmodell input'!$C$35</f>
        <v>1</v>
      </c>
      <c r="U81" s="288">
        <f>1/'1a. Spredningsmodell input'!$C$35</f>
        <v>1</v>
      </c>
      <c r="V81" s="300" t="e">
        <f>(1/($N81+Stoff!$L81))*(LN(($D81*$I81/($D81*$I81+$J81))*($F81+Stoff!$L81+$N81+Stoff!$M81)/($N81+Stoff!$M81)))</f>
        <v>#VALUE!</v>
      </c>
      <c r="W81" s="290" t="e">
        <f>($D81-Stoff!$P81*$D81)*EXP(-($F81+Stoff!$L81*365)*V81)</f>
        <v>#VALUE!</v>
      </c>
      <c r="X81" s="291" t="e">
        <f>(Stoff!$P81*$D81)*EXP(-'1a. Spredningsmodell input'!$B$43*V81)</f>
        <v>#VALUE!</v>
      </c>
      <c r="Y81" s="290" t="e">
        <f>($D81-Stoff!$P81*$D81-W81)*($F81/($F81+Stoff!$L81*365))</f>
        <v>#VALUE!</v>
      </c>
      <c r="Z81" s="290" t="e">
        <f>(Stoff!$P81*$D81)-X81</f>
        <v>#VALUE!</v>
      </c>
      <c r="AA81" s="290" t="e">
        <f>($O81+Y81)*EXP(-($N81+Stoff!$M81*365)*V81)</f>
        <v>#VALUE!</v>
      </c>
      <c r="AB81" s="290" t="e">
        <f>(Stoff!$P81*$O81+Z81)*EXP(-('1a. Spredningsmodell input'!$B$46)*V81)</f>
        <v>#VALUE!</v>
      </c>
      <c r="AC81" s="292" t="e">
        <f>((AA81+AB81)*1000000000)/('1a. Spredningsmodell input'!$B$45*1000)</f>
        <v>#VALUE!</v>
      </c>
      <c r="AD81" s="294" t="e">
        <f>0.001*AC81/('1a. Spredningsmodell input'!$C$25+'1a. Spredningsmodell input'!$C$26/Mellomregninger!$K81)</f>
        <v>#VALUE!</v>
      </c>
      <c r="AE81" s="294" t="e">
        <f>1000*AD81/$K81+AB81*1000000000/('1a. Spredningsmodell input'!$B$45*1000)</f>
        <v>#VALUE!</v>
      </c>
      <c r="AF81" s="294" t="e">
        <f t="shared" si="35"/>
        <v>#VALUE!</v>
      </c>
      <c r="AG81" s="294" t="e">
        <f>AB81*1000000000/('1a. Spredningsmodell input'!$B$45*1000)</f>
        <v>#VALUE!</v>
      </c>
      <c r="AH81" s="300" t="e">
        <f>(1/('1a. Spredningsmodell input'!$B$46))*(LN(($D81*Stoff!$P81/($D81*Stoff!$P81+$P81*Stoff!$P81))*('1a. Spredningsmodell input'!$B$43+'1a. Spredningsmodell input'!$B$46)/('1a. Spredningsmodell input'!$B$46)))</f>
        <v>#VALUE!</v>
      </c>
      <c r="AI81" s="290" t="e">
        <f>($D81-Stoff!$P81*$D81)*EXP(-($F81+Stoff!$L81*365)*AH81)</f>
        <v>#VALUE!</v>
      </c>
      <c r="AJ81" s="291" t="e">
        <f>(Stoff!$P81*$D81)*EXP(-'1a. Spredningsmodell input'!$B$43*AH81)</f>
        <v>#VALUE!</v>
      </c>
      <c r="AK81" s="290" t="e">
        <f>($D81-Stoff!$P81*$D81-AI81)*($F81/($F81+Stoff!$L81*365))</f>
        <v>#VALUE!</v>
      </c>
      <c r="AL81" s="290" t="e">
        <f>(Stoff!$P81*$D81)-AJ81</f>
        <v>#VALUE!</v>
      </c>
      <c r="AM81" s="290" t="e">
        <f>($O81+AK81)*EXP(-($N81+Stoff!$M81*365)*AH81)</f>
        <v>#VALUE!</v>
      </c>
      <c r="AN81" s="290" t="e">
        <f>(Stoff!$P81*$O81+AL81)*EXP(-('1a. Spredningsmodell input'!$B$46)*AH81)</f>
        <v>#VALUE!</v>
      </c>
      <c r="AO81" s="292" t="e">
        <f>((AM81+AN81)*1000000000)/('1a. Spredningsmodell input'!$B$45*1000)</f>
        <v>#VALUE!</v>
      </c>
      <c r="AP81" s="294" t="e">
        <f>0.001*AO81/('1a. Spredningsmodell input'!$C$25+'1a. Spredningsmodell input'!$C$26/Mellomregninger!$K81)</f>
        <v>#VALUE!</v>
      </c>
      <c r="AQ81" s="294" t="e">
        <f>1000*AP81/$K81+AN81*1000000000/('1a. Spredningsmodell input'!$B$45*1000)</f>
        <v>#VALUE!</v>
      </c>
      <c r="AR81" s="294" t="e">
        <f t="shared" si="36"/>
        <v>#VALUE!</v>
      </c>
      <c r="AS81" s="294" t="e">
        <f>AN81*1000000000/('1a. Spredningsmodell input'!$B$45*1000)</f>
        <v>#VALUE!</v>
      </c>
      <c r="AT81" s="295">
        <f t="shared" si="37"/>
        <v>5</v>
      </c>
      <c r="AU81" s="290" t="e">
        <f>($D81-Stoff!$P81*$D81)*EXP(-($F81+Stoff!$L81*365)*AT81)</f>
        <v>#VALUE!</v>
      </c>
      <c r="AV81" s="291" t="e">
        <f>(Stoff!$P81*$D81)*EXP(-'1a. Spredningsmodell input'!$B$43*AT81)</f>
        <v>#VALUE!</v>
      </c>
      <c r="AW81" s="290" t="e">
        <f>($D81-Stoff!$P81*$D81-AU81)*($F81/($F81+Stoff!$L81*365))</f>
        <v>#VALUE!</v>
      </c>
      <c r="AX81" s="290" t="e">
        <f>(Stoff!$P81*$D81)-AV81</f>
        <v>#VALUE!</v>
      </c>
      <c r="AY81" s="290" t="e">
        <f>($O81+AW81)*EXP(-($N81+Stoff!$M81*365)*AT81)</f>
        <v>#VALUE!</v>
      </c>
      <c r="AZ81" s="290" t="e">
        <f>(Stoff!$P81*$O81+AX81)*EXP(-('1a. Spredningsmodell input'!$B$46)*AT81)</f>
        <v>#VALUE!</v>
      </c>
      <c r="BA81" s="292" t="e">
        <f>((AY81+AZ81)*1000000000)/('1a. Spredningsmodell input'!$B$45*1000)</f>
        <v>#VALUE!</v>
      </c>
      <c r="BB81" s="294" t="e">
        <f>0.001*BA81/('1a. Spredningsmodell input'!$C$25+'1a. Spredningsmodell input'!$C$26/Mellomregninger!$K81)</f>
        <v>#VALUE!</v>
      </c>
      <c r="BC81" s="294" t="e">
        <f>1000*BB81/$K81+AZ81*1000000000/('1a. Spredningsmodell input'!$B$45*1000)</f>
        <v>#VALUE!</v>
      </c>
      <c r="BD81" s="294" t="e">
        <f t="shared" si="38"/>
        <v>#VALUE!</v>
      </c>
      <c r="BE81" s="294" t="e">
        <f>AZ81*1000000000/('1a. Spredningsmodell input'!$B$45*1000)</f>
        <v>#VALUE!</v>
      </c>
      <c r="BF81" s="295">
        <f t="shared" si="39"/>
        <v>20</v>
      </c>
      <c r="BG81" s="290" t="e">
        <f>($D81-Stoff!$P81*$D81)*EXP(-($F81+Stoff!$L81*365)*BF81)</f>
        <v>#VALUE!</v>
      </c>
      <c r="BH81" s="291" t="e">
        <f>(Stoff!$P81*$D81)*EXP(-'1a. Spredningsmodell input'!$B$43*BF81)</f>
        <v>#VALUE!</v>
      </c>
      <c r="BI81" s="290" t="e">
        <f>($D81-Stoff!$P81*$D81-BG81)*($F81/($F81+Stoff!$L81*365))</f>
        <v>#VALUE!</v>
      </c>
      <c r="BJ81" s="290" t="e">
        <f>(Stoff!$P81*$D81)-BH81</f>
        <v>#VALUE!</v>
      </c>
      <c r="BK81" s="290" t="e">
        <f>($O81+BI81)*EXP(-($N81+Stoff!$M81*365)*BF81)</f>
        <v>#VALUE!</v>
      </c>
      <c r="BL81" s="290" t="e">
        <f>(Stoff!$P81*$O81+BJ81)*EXP(-('1a. Spredningsmodell input'!$B$46)*BF81)</f>
        <v>#VALUE!</v>
      </c>
      <c r="BM81" s="292" t="e">
        <f>((BK81+BL81)*1000000000)/('1a. Spredningsmodell input'!$B$45*1000)</f>
        <v>#VALUE!</v>
      </c>
      <c r="BN81" s="294" t="e">
        <f>0.001*BM81/('1a. Spredningsmodell input'!$C$25+'1a. Spredningsmodell input'!$C$26/Mellomregninger!$K81)</f>
        <v>#VALUE!</v>
      </c>
      <c r="BO81" s="294" t="e">
        <f>1000*BN81/$K81+BL81*1000000000/('1a. Spredningsmodell input'!$B$45*1000)</f>
        <v>#VALUE!</v>
      </c>
      <c r="BP81" s="294" t="e">
        <f t="shared" si="40"/>
        <v>#VALUE!</v>
      </c>
      <c r="BQ81" s="294" t="e">
        <f>BL81*1000000000/('1a. Spredningsmodell input'!$B$45*1000)</f>
        <v>#VALUE!</v>
      </c>
      <c r="BR81" s="295">
        <f t="shared" si="41"/>
        <v>100</v>
      </c>
      <c r="BS81" s="290" t="e">
        <f>($D81-Stoff!$P81*$D81)*EXP(-($F81+Stoff!$L81*365)*BR81)</f>
        <v>#VALUE!</v>
      </c>
      <c r="BT81" s="291" t="e">
        <f>(Stoff!$P81*$D81)*EXP(-'1a. Spredningsmodell input'!$B$43*BR81)</f>
        <v>#VALUE!</v>
      </c>
      <c r="BU81" s="290" t="e">
        <f>($D81-Stoff!$P81*$D81-BS81)*($F81/($F81+Stoff!$L81*365))</f>
        <v>#VALUE!</v>
      </c>
      <c r="BV81" s="290" t="e">
        <f>(Stoff!$P81*$D81)-BT81</f>
        <v>#VALUE!</v>
      </c>
      <c r="BW81" s="290" t="e">
        <f>($O81+BU81)*EXP(-($N81+Stoff!$M81*365)*BR81)</f>
        <v>#VALUE!</v>
      </c>
      <c r="BX81" s="290" t="e">
        <f>(Stoff!$P81*$O81+BV81)*EXP(-('1a. Spredningsmodell input'!$B$46)*BR81)</f>
        <v>#VALUE!</v>
      </c>
      <c r="BY81" s="292" t="e">
        <f>((BW81+BX81)*1000000000)/('1a. Spredningsmodell input'!$B$45*1000)</f>
        <v>#VALUE!</v>
      </c>
      <c r="BZ81" s="294" t="e">
        <f>0.001*BY81/('1a. Spredningsmodell input'!$C$25+'1a. Spredningsmodell input'!$C$26/Mellomregninger!$K81)</f>
        <v>#VALUE!</v>
      </c>
      <c r="CA81" s="294" t="e">
        <f>1000*BZ81/$K81+BX81*1000000000/('1a. Spredningsmodell input'!$B$45*1000)</f>
        <v>#VALUE!</v>
      </c>
      <c r="CB81" s="294" t="e">
        <f t="shared" si="42"/>
        <v>#VALUE!</v>
      </c>
      <c r="CC81" s="294" t="e">
        <f>BX81*1000000000/('1a. Spredningsmodell input'!$B$45*1000)</f>
        <v>#VALUE!</v>
      </c>
      <c r="CD81" s="294" t="e">
        <f>V81+'1a. Spredningsmodell input'!$C$35</f>
        <v>#VALUE!</v>
      </c>
      <c r="CE81" s="294" t="e">
        <f>($S81+$Q81*($O81+$I81*($D81*(1-Stoff!$P81))*(1-EXP(-($F81+Stoff!$L81*365)*CD81)))*(1-EXP(-($N81+Stoff!$M81*365)*CD81)))</f>
        <v>#VALUE!</v>
      </c>
      <c r="CF81" s="294" t="e">
        <f t="shared" si="43"/>
        <v>#VALUE!</v>
      </c>
      <c r="CG81" s="296" t="e">
        <f>(CF81/1000000)*'1a. Spredningsmodell input'!$B$49*'1a. Spredningsmodell input'!$C$35</f>
        <v>#VALUE!</v>
      </c>
      <c r="CH81" s="294" t="e">
        <f t="shared" si="44"/>
        <v>#VALUE!</v>
      </c>
      <c r="CI81" s="290" t="e">
        <f>(CH81/1000000)*'1a. Spredningsmodell input'!$B$49*'1a. Spredningsmodell input'!$C$35</f>
        <v>#VALUE!</v>
      </c>
      <c r="CJ81" s="297" t="e">
        <f>($S81)*EXP(-(Stoff!$N81*365+$U81)*CD81)+CG81</f>
        <v>#VALUE!</v>
      </c>
      <c r="CK81" s="297" t="e">
        <f>(Stoff!$P81*$S81+CI81)*EXP(-$T81*CD81)</f>
        <v>#VALUE!</v>
      </c>
      <c r="CL81" s="297" t="e">
        <f>(CJ81+CK81)*1000000000/('1a. Spredningsmodell input'!$C$36*1000)</f>
        <v>#VALUE!</v>
      </c>
      <c r="CM81" s="297" t="e">
        <f>$G81*(1-EXP(-'1a. Spredningsmodell input'!$B$43*Mellomregninger!CD81))*(1-EXP(-'1a. Spredningsmodell input'!$B$46*Mellomregninger!CD81))</f>
        <v>#VALUE!</v>
      </c>
      <c r="CN81" s="297"/>
      <c r="CO81" s="297"/>
      <c r="CP81" s="290">
        <f>IF(ISNUMBER(AH81),AH81+'1a. Spredningsmodell input'!$C$35,'1a. Spredningsmodell input'!$C$35)</f>
        <v>1</v>
      </c>
      <c r="CQ81" s="294" t="e">
        <f>($S81+$Q81*($O81+$I81*($D81*(1-Stoff!$P81))*(1-EXP(-($F81+Stoff!$L81*365)*CP81)))*(1-EXP(-($N81+Stoff!$M81*365)*CP81)))</f>
        <v>#VALUE!</v>
      </c>
      <c r="CR81" s="294" t="e">
        <f t="shared" si="45"/>
        <v>#VALUE!</v>
      </c>
      <c r="CS81" s="296" t="e">
        <f>(CR81/1000000)*('1a. Spredningsmodell input'!$B$49*'1a. Spredningsmodell input'!$C$35)</f>
        <v>#VALUE!</v>
      </c>
      <c r="CT81" s="294" t="e">
        <f t="shared" si="46"/>
        <v>#VALUE!</v>
      </c>
      <c r="CU81" s="290" t="e">
        <f>(CT81/1000000)*('1a. Spredningsmodell input'!$B$49)*'1a. Spredningsmodell input'!$C$35</f>
        <v>#VALUE!</v>
      </c>
      <c r="CV81" s="297" t="e">
        <f>($S81)*EXP(-(Stoff!$N81*365+$U81)*CP81)+CS81</f>
        <v>#VALUE!</v>
      </c>
      <c r="CW81" s="297" t="e">
        <f>(Stoff!$P81*$S81+CU81)*EXP(-$T81*CP81)</f>
        <v>#VALUE!</v>
      </c>
      <c r="CX81" s="297">
        <f>IF(ISERROR(CV81),0,(CV81+CW81)*1000000000/('1a. Spredningsmodell input'!$C$36*1000))</f>
        <v>0</v>
      </c>
      <c r="CY81" s="297" t="e">
        <f>$G81*(1-EXP(-'1a. Spredningsmodell input'!$B$43*Mellomregninger!CP81))*(1-EXP(-'1a. Spredningsmodell input'!$B$46*Mellomregninger!CP81))</f>
        <v>#VALUE!</v>
      </c>
      <c r="CZ81" s="297"/>
      <c r="DA81" s="297"/>
      <c r="DB81" s="262">
        <f t="shared" si="47"/>
        <v>5</v>
      </c>
      <c r="DC81" s="298" t="e">
        <f>($S81+$Q81*($O81+$I81*($D81*(1-Stoff!$P81))*(1-EXP(-($F81+Stoff!$L81*365)*DB81)))*(1-EXP(-($N81+Stoff!$M81*365)*DB81)))</f>
        <v>#VALUE!</v>
      </c>
      <c r="DD81" s="294" t="e">
        <f t="shared" si="48"/>
        <v>#VALUE!</v>
      </c>
      <c r="DE81" s="296" t="e">
        <f>(DD81/1000000)*('1a. Spredningsmodell input'!$B$49)*'1a. Spredningsmodell input'!$C$35</f>
        <v>#VALUE!</v>
      </c>
      <c r="DF81" s="294" t="e">
        <f t="shared" si="49"/>
        <v>#VALUE!</v>
      </c>
      <c r="DG81" s="290" t="e">
        <f>(DF81/1000000)*('1a. Spredningsmodell input'!$B$49)*'1a. Spredningsmodell input'!$C$35</f>
        <v>#VALUE!</v>
      </c>
      <c r="DH81" s="297" t="e">
        <f>($S81)*EXP(-(Stoff!$N81*365+$U81)*DB81)+DE81</f>
        <v>#VALUE!</v>
      </c>
      <c r="DI81" s="297" t="e">
        <f>(Stoff!$P81*$S81+DG81)*EXP(-$T81*DB81)</f>
        <v>#VALUE!</v>
      </c>
      <c r="DJ81" s="297" t="e">
        <f>(DH81+DI81)*1000000000/('1a. Spredningsmodell input'!$C$36*1000)</f>
        <v>#VALUE!</v>
      </c>
      <c r="DK81" s="297" t="e">
        <f>$G81*(1-EXP(-'1a. Spredningsmodell input'!$B$43*Mellomregninger!DB81))*(1-EXP(-'1a. Spredningsmodell input'!$B$46*Mellomregninger!DB81))</f>
        <v>#VALUE!</v>
      </c>
      <c r="DL81" s="297"/>
      <c r="DM81" s="297"/>
      <c r="DN81" s="262">
        <f t="shared" si="50"/>
        <v>20</v>
      </c>
      <c r="DO81" s="298" t="e">
        <f>($S81+$Q81*($O81+$I81*($D81*(1-Stoff!$P81))*(1-EXP(-($F81+Stoff!$L81*365)*DN81)))*(1-EXP(-($N81+Stoff!$M81*365)*DN81)))</f>
        <v>#VALUE!</v>
      </c>
      <c r="DP81" s="294" t="e">
        <f t="shared" si="51"/>
        <v>#VALUE!</v>
      </c>
      <c r="DQ81" s="296" t="e">
        <f>(DP81/1000000)*('1a. Spredningsmodell input'!$B$49)*'1a. Spredningsmodell input'!$C$35</f>
        <v>#VALUE!</v>
      </c>
      <c r="DR81" s="294" t="e">
        <f t="shared" si="52"/>
        <v>#VALUE!</v>
      </c>
      <c r="DS81" s="290" t="e">
        <f>(DR81/1000000)*('1a. Spredningsmodell input'!$B$49)*'1a. Spredningsmodell input'!$C$35</f>
        <v>#VALUE!</v>
      </c>
      <c r="DT81" s="297" t="e">
        <f>($S81)*EXP(-(Stoff!$N81*365+$U81)*DN81)+DQ81</f>
        <v>#VALUE!</v>
      </c>
      <c r="DU81" s="297" t="e">
        <f>(Stoff!$P81*$S81+DS81)*EXP(-$T81*DN81)</f>
        <v>#VALUE!</v>
      </c>
      <c r="DV81" s="297" t="e">
        <f>(DT81+DU81)*1000000000/('1a. Spredningsmodell input'!$C$36*1000)</f>
        <v>#VALUE!</v>
      </c>
      <c r="DW81" s="297" t="e">
        <f>$G81*(1-EXP(-'1a. Spredningsmodell input'!$B$43*Mellomregninger!DN81))*(1-EXP(-'1a. Spredningsmodell input'!$B$46*Mellomregninger!DN81))</f>
        <v>#VALUE!</v>
      </c>
      <c r="DX81" s="297"/>
      <c r="DY81" s="297"/>
      <c r="DZ81" s="262">
        <f t="shared" si="53"/>
        <v>100</v>
      </c>
      <c r="EA81" s="298" t="e">
        <f>($S81+$Q81*($O81+$I81*($D81*(1-Stoff!$P81))*(1-EXP(-($F81+Stoff!$L81*365)*DZ81)))*(1-EXP(-($N81+Stoff!$M81*365)*DZ81)))</f>
        <v>#VALUE!</v>
      </c>
      <c r="EB81" s="294" t="e">
        <f t="shared" si="54"/>
        <v>#VALUE!</v>
      </c>
      <c r="EC81" s="296" t="e">
        <f>(EB81/1000000)*('1a. Spredningsmodell input'!$B$49)*'1a. Spredningsmodell input'!$C$35</f>
        <v>#VALUE!</v>
      </c>
      <c r="ED81" s="294" t="e">
        <f t="shared" si="55"/>
        <v>#VALUE!</v>
      </c>
      <c r="EE81" s="290" t="e">
        <f>(ED81/1000000)*('1a. Spredningsmodell input'!$B$49)*'1a. Spredningsmodell input'!$C$35</f>
        <v>#VALUE!</v>
      </c>
      <c r="EF81" s="297" t="e">
        <f>($S81)*EXP(-(Stoff!$N81*365+$U81)*DZ81)+EC81</f>
        <v>#VALUE!</v>
      </c>
      <c r="EG81" s="297" t="e">
        <f>(Stoff!$P81*$S81+EE81)*EXP(-$T81*DZ81)</f>
        <v>#VALUE!</v>
      </c>
      <c r="EH81" s="297" t="e">
        <f>(EF81+EG81)*1000000000/('1a. Spredningsmodell input'!$C$36*1000)</f>
        <v>#VALUE!</v>
      </c>
      <c r="EI81" s="297" t="e">
        <f>$G81*(1-EXP(-'1a. Spredningsmodell input'!$B$43*Mellomregninger!DZ81))*(1-EXP(-'1a. Spredningsmodell input'!$B$46*Mellomregninger!DZ81))</f>
        <v>#VALUE!</v>
      </c>
      <c r="EJ81" s="297"/>
      <c r="EK81" s="297"/>
      <c r="EL81" s="262">
        <f t="shared" si="56"/>
        <v>1.0000000000000001E+25</v>
      </c>
      <c r="EM81" s="294" t="e">
        <f>($S81+$Q81*($O81+$I81*($D81*(1-Stoff!$P81))*(1-EXP(-($F81+Stoff!$L81*365)*EL81)))*(1-EXP(-($N81+Stoff!$M81*365)*EL81)))</f>
        <v>#VALUE!</v>
      </c>
      <c r="EN81" s="296" t="e">
        <f>($S81+$Q81*($O81+$I81*($D81*(1-Stoff!$P81))*(1-EXP(-($F81+Stoff!$L81*365)*(EL81-'1a. Spredningsmodell input'!$C$35))))*(1-EXP(-($N81+Stoff!$M81*365)*(EL81-'1a. Spredningsmodell input'!$C$35))))</f>
        <v>#VALUE!</v>
      </c>
      <c r="EO81" s="294" t="e">
        <f>IF(EL81&lt;'1a. Spredningsmodell input'!$C$35,EM81-($S81)*EXP(-(Stoff!$N81*365+$U81)*EL81),EM81-EN81)</f>
        <v>#VALUE!</v>
      </c>
      <c r="EP81" s="290" t="e">
        <f>((($D81*(Stoff!$P81))*(1-EXP(-'1a. Spredningsmodell input'!$B$43*EL81)))*(1-EXP(-'1a. Spredningsmodell input'!$B$46*EL81)))</f>
        <v>#VALUE!</v>
      </c>
      <c r="EQ81" s="294" t="e">
        <f>((($D81*(Stoff!$P81))*(1-EXP(-'1a. Spredningsmodell input'!$B$43*(EL81-'1a. Spredningsmodell input'!$C$35))))*(1-EXP(-'1a. Spredningsmodell input'!$B$46*(EL81-'1a. Spredningsmodell input'!$C$35))))</f>
        <v>#VALUE!</v>
      </c>
      <c r="ER81" s="290" t="e">
        <f>IF(EL81&lt;'1a. Spredningsmodell input'!$C$35,0,EP81-EQ81)</f>
        <v>#VALUE!</v>
      </c>
      <c r="ES81" s="297" t="e">
        <f>($S81)*EXP(-(Stoff!$N81*365+$U81)*EL81)+EO81</f>
        <v>#VALUE!</v>
      </c>
      <c r="ET81" s="297" t="e">
        <f>(Stoff!$P81*$S81+ER81)*EXP(-$T81*EL81)</f>
        <v>#VALUE!</v>
      </c>
      <c r="EU81" s="297" t="e">
        <f>(ES81+ET81)*1000000000/('1a. Spredningsmodell input'!$C$36*1000)</f>
        <v>#VALUE!</v>
      </c>
      <c r="EV81" s="262" t="e">
        <f t="shared" si="57"/>
        <v>#VALUE!</v>
      </c>
      <c r="EW81" s="299" t="e">
        <f t="shared" si="58"/>
        <v>#VALUE!</v>
      </c>
      <c r="EX81" s="262" t="e">
        <f t="shared" si="59"/>
        <v>#VALUE!</v>
      </c>
    </row>
    <row r="82" spans="1:154" x14ac:dyDescent="0.35">
      <c r="A82" s="50" t="s">
        <v>127</v>
      </c>
      <c r="B82" s="34" t="str">
        <f>IF(ISNUMBER('1c. Kons. porevann'!E82),1000*'1c. Kons. porevann'!E82,IF(ISNUMBER('1b. Kons. umettet jord'!E82),1000*'1b. Kons. umettet jord'!E82/C82,""))</f>
        <v/>
      </c>
      <c r="C82" s="244">
        <f>IF(Stoff!B82="uorganisk",Stoff!C82,Stoff!D82*'1a. Spredningsmodell input'!$C$11)</f>
        <v>76167.55</v>
      </c>
      <c r="D82" s="34" t="str">
        <f>IF(ISNUMBER(B82),0.000001*('1b. Kons. umettet jord'!G82*'1a. Spredningsmodell input'!$C$12+B82*0.001*'1a. Spredningsmodell input'!$C$14)*1000*'1a. Spredningsmodell input'!$B$41*'1a. Spredningsmodell input'!$C$18,"")</f>
        <v/>
      </c>
      <c r="E82" s="283">
        <f>C82*'1a. Spredningsmodell input'!$C$12/'1a. Spredningsmodell input'!$C$14+1</f>
        <v>647425.17500000005</v>
      </c>
      <c r="F82" s="284">
        <f>'1a. Spredningsmodell input'!$B$43/E82</f>
        <v>2.3168700537479092E-6</v>
      </c>
      <c r="G82" s="34" t="e">
        <f>Stoff!P82*Mellomregninger!D82</f>
        <v>#VALUE!</v>
      </c>
      <c r="H82" s="283" t="e">
        <f>(D82-G82)*(F82/(F82+Stoff!L82))</f>
        <v>#VALUE!</v>
      </c>
      <c r="I82" s="283">
        <f>F82/(F82+Stoff!L82)</f>
        <v>1</v>
      </c>
      <c r="J82" s="285" t="str">
        <f>IF(B82="","",IF(ISNUMBER('1d. Kons. mettet sone'!E82),'1d. Kons. mettet sone'!E82,IF(ISNUMBER('1e. Kons. grunnvann'!E82),'1e. Kons. grunnvann'!E82*Mellomregninger!K82,0)))</f>
        <v/>
      </c>
      <c r="K82" s="286">
        <f>IF(Stoff!B82="uorganisk",Stoff!C82,Stoff!D82*'1a. Spredningsmodell input'!$C$24)</f>
        <v>7616.7550000000001</v>
      </c>
      <c r="L82" s="27" t="e">
        <f>IF(ISNUMBER('1e. Kons. grunnvann'!E82),1000*'1e. Kons. grunnvann'!E82,1000*J82/K82)</f>
        <v>#VALUE!</v>
      </c>
      <c r="M82" s="34">
        <f>K82*'1a. Spredningsmodell input'!$C$25/'1a. Spredningsmodell input'!$C$26+1</f>
        <v>32372.208749999998</v>
      </c>
      <c r="N82" s="284">
        <f>'1a. Spredningsmodell input'!$C$26/M82</f>
        <v>1.2356277666719299E-5</v>
      </c>
      <c r="O82" s="287" t="e">
        <f>0.000000001*(J82*'1a. Spredningsmodell input'!$C$25+L82)*1000*'1a. Spredningsmodell input'!$B$45</f>
        <v>#VALUE!</v>
      </c>
      <c r="P82" s="287" t="e">
        <f>O82*Stoff!P82</f>
        <v>#VALUE!</v>
      </c>
      <c r="Q82" s="287">
        <f>N82/(N82+Stoff!M82)</f>
        <v>1</v>
      </c>
      <c r="R82" s="288">
        <f>IF(ISNUMBER('1f. Kons. resipient'!E82),'1f. Kons. resipient'!E82,0)</f>
        <v>0</v>
      </c>
      <c r="S82" s="288">
        <f>0.000000001*'1a. Spredningsmodell input'!$C$36*R82*1000</f>
        <v>0</v>
      </c>
      <c r="T82" s="288">
        <f>1/'1a. Spredningsmodell input'!$C$35</f>
        <v>1</v>
      </c>
      <c r="U82" s="288">
        <f>1/'1a. Spredningsmodell input'!$C$35</f>
        <v>1</v>
      </c>
      <c r="V82" s="300" t="e">
        <f>(1/($N82+Stoff!$L82))*(LN(($D82*$I82/($D82*$I82+$J82))*($F82+Stoff!$L82+$N82+Stoff!$M82)/($N82+Stoff!$M82)))</f>
        <v>#VALUE!</v>
      </c>
      <c r="W82" s="290" t="e">
        <f>($D82-Stoff!$P82*$D82)*EXP(-($F82+Stoff!$L82*365)*V82)</f>
        <v>#VALUE!</v>
      </c>
      <c r="X82" s="291" t="e">
        <f>(Stoff!$P82*$D82)*EXP(-'1a. Spredningsmodell input'!$B$43*V82)</f>
        <v>#VALUE!</v>
      </c>
      <c r="Y82" s="290" t="e">
        <f>($D82-Stoff!$P82*$D82-W82)*($F82/($F82+Stoff!$L82*365))</f>
        <v>#VALUE!</v>
      </c>
      <c r="Z82" s="290" t="e">
        <f>(Stoff!$P82*$D82)-X82</f>
        <v>#VALUE!</v>
      </c>
      <c r="AA82" s="290" t="e">
        <f>($O82+Y82)*EXP(-($N82+Stoff!$M82*365)*V82)</f>
        <v>#VALUE!</v>
      </c>
      <c r="AB82" s="290" t="e">
        <f>(Stoff!$P82*$O82+Z82)*EXP(-('1a. Spredningsmodell input'!$B$46)*V82)</f>
        <v>#VALUE!</v>
      </c>
      <c r="AC82" s="292" t="e">
        <f>((AA82+AB82)*1000000000)/('1a. Spredningsmodell input'!$B$45*1000)</f>
        <v>#VALUE!</v>
      </c>
      <c r="AD82" s="294" t="e">
        <f>0.001*AC82/('1a. Spredningsmodell input'!$C$25+'1a. Spredningsmodell input'!$C$26/Mellomregninger!$K82)</f>
        <v>#VALUE!</v>
      </c>
      <c r="AE82" s="294" t="e">
        <f>1000*AD82/$K82+AB82*1000000000/('1a. Spredningsmodell input'!$B$45*1000)</f>
        <v>#VALUE!</v>
      </c>
      <c r="AF82" s="294" t="e">
        <f t="shared" si="35"/>
        <v>#VALUE!</v>
      </c>
      <c r="AG82" s="294" t="e">
        <f>AB82*1000000000/('1a. Spredningsmodell input'!$B$45*1000)</f>
        <v>#VALUE!</v>
      </c>
      <c r="AH82" s="300" t="e">
        <f>(1/('1a. Spredningsmodell input'!$B$46))*(LN(($D82*Stoff!$P82/($D82*Stoff!$P82+$P82*Stoff!$P82))*('1a. Spredningsmodell input'!$B$43+'1a. Spredningsmodell input'!$B$46)/('1a. Spredningsmodell input'!$B$46)))</f>
        <v>#VALUE!</v>
      </c>
      <c r="AI82" s="290" t="e">
        <f>($D82-Stoff!$P82*$D82)*EXP(-($F82+Stoff!$L82*365)*AH82)</f>
        <v>#VALUE!</v>
      </c>
      <c r="AJ82" s="291" t="e">
        <f>(Stoff!$P82*$D82)*EXP(-'1a. Spredningsmodell input'!$B$43*AH82)</f>
        <v>#VALUE!</v>
      </c>
      <c r="AK82" s="290" t="e">
        <f>($D82-Stoff!$P82*$D82-AI82)*($F82/($F82+Stoff!$L82*365))</f>
        <v>#VALUE!</v>
      </c>
      <c r="AL82" s="290" t="e">
        <f>(Stoff!$P82*$D82)-AJ82</f>
        <v>#VALUE!</v>
      </c>
      <c r="AM82" s="290" t="e">
        <f>($O82+AK82)*EXP(-($N82+Stoff!$M82*365)*AH82)</f>
        <v>#VALUE!</v>
      </c>
      <c r="AN82" s="290" t="e">
        <f>(Stoff!$P82*$O82+AL82)*EXP(-('1a. Spredningsmodell input'!$B$46)*AH82)</f>
        <v>#VALUE!</v>
      </c>
      <c r="AO82" s="292" t="e">
        <f>((AM82+AN82)*1000000000)/('1a. Spredningsmodell input'!$B$45*1000)</f>
        <v>#VALUE!</v>
      </c>
      <c r="AP82" s="294" t="e">
        <f>0.001*AO82/('1a. Spredningsmodell input'!$C$25+'1a. Spredningsmodell input'!$C$26/Mellomregninger!$K82)</f>
        <v>#VALUE!</v>
      </c>
      <c r="AQ82" s="294" t="e">
        <f>1000*AP82/$K82+AN82*1000000000/('1a. Spredningsmodell input'!$B$45*1000)</f>
        <v>#VALUE!</v>
      </c>
      <c r="AR82" s="294" t="e">
        <f t="shared" si="36"/>
        <v>#VALUE!</v>
      </c>
      <c r="AS82" s="294" t="e">
        <f>AN82*1000000000/('1a. Spredningsmodell input'!$B$45*1000)</f>
        <v>#VALUE!</v>
      </c>
      <c r="AT82" s="295">
        <f t="shared" si="37"/>
        <v>5</v>
      </c>
      <c r="AU82" s="290" t="e">
        <f>($D82-Stoff!$P82*$D82)*EXP(-($F82+Stoff!$L82*365)*AT82)</f>
        <v>#VALUE!</v>
      </c>
      <c r="AV82" s="291" t="e">
        <f>(Stoff!$P82*$D82)*EXP(-'1a. Spredningsmodell input'!$B$43*AT82)</f>
        <v>#VALUE!</v>
      </c>
      <c r="AW82" s="290" t="e">
        <f>($D82-Stoff!$P82*$D82-AU82)*($F82/($F82+Stoff!$L82*365))</f>
        <v>#VALUE!</v>
      </c>
      <c r="AX82" s="290" t="e">
        <f>(Stoff!$P82*$D82)-AV82</f>
        <v>#VALUE!</v>
      </c>
      <c r="AY82" s="290" t="e">
        <f>($O82+AW82)*EXP(-($N82+Stoff!$M82*365)*AT82)</f>
        <v>#VALUE!</v>
      </c>
      <c r="AZ82" s="290" t="e">
        <f>(Stoff!$P82*$O82+AX82)*EXP(-('1a. Spredningsmodell input'!$B$46)*AT82)</f>
        <v>#VALUE!</v>
      </c>
      <c r="BA82" s="292" t="e">
        <f>((AY82+AZ82)*1000000000)/('1a. Spredningsmodell input'!$B$45*1000)</f>
        <v>#VALUE!</v>
      </c>
      <c r="BB82" s="294" t="e">
        <f>0.001*BA82/('1a. Spredningsmodell input'!$C$25+'1a. Spredningsmodell input'!$C$26/Mellomregninger!$K82)</f>
        <v>#VALUE!</v>
      </c>
      <c r="BC82" s="294" t="e">
        <f>1000*BB82/$K82+AZ82*1000000000/('1a. Spredningsmodell input'!$B$45*1000)</f>
        <v>#VALUE!</v>
      </c>
      <c r="BD82" s="294" t="e">
        <f t="shared" si="38"/>
        <v>#VALUE!</v>
      </c>
      <c r="BE82" s="294" t="e">
        <f>AZ82*1000000000/('1a. Spredningsmodell input'!$B$45*1000)</f>
        <v>#VALUE!</v>
      </c>
      <c r="BF82" s="295">
        <f t="shared" si="39"/>
        <v>20</v>
      </c>
      <c r="BG82" s="290" t="e">
        <f>($D82-Stoff!$P82*$D82)*EXP(-($F82+Stoff!$L82*365)*BF82)</f>
        <v>#VALUE!</v>
      </c>
      <c r="BH82" s="291" t="e">
        <f>(Stoff!$P82*$D82)*EXP(-'1a. Spredningsmodell input'!$B$43*BF82)</f>
        <v>#VALUE!</v>
      </c>
      <c r="BI82" s="290" t="e">
        <f>($D82-Stoff!$P82*$D82-BG82)*($F82/($F82+Stoff!$L82*365))</f>
        <v>#VALUE!</v>
      </c>
      <c r="BJ82" s="290" t="e">
        <f>(Stoff!$P82*$D82)-BH82</f>
        <v>#VALUE!</v>
      </c>
      <c r="BK82" s="290" t="e">
        <f>($O82+BI82)*EXP(-($N82+Stoff!$M82*365)*BF82)</f>
        <v>#VALUE!</v>
      </c>
      <c r="BL82" s="290" t="e">
        <f>(Stoff!$P82*$O82+BJ82)*EXP(-('1a. Spredningsmodell input'!$B$46)*BF82)</f>
        <v>#VALUE!</v>
      </c>
      <c r="BM82" s="292" t="e">
        <f>((BK82+BL82)*1000000000)/('1a. Spredningsmodell input'!$B$45*1000)</f>
        <v>#VALUE!</v>
      </c>
      <c r="BN82" s="294" t="e">
        <f>0.001*BM82/('1a. Spredningsmodell input'!$C$25+'1a. Spredningsmodell input'!$C$26/Mellomregninger!$K82)</f>
        <v>#VALUE!</v>
      </c>
      <c r="BO82" s="294" t="e">
        <f>1000*BN82/$K82+BL82*1000000000/('1a. Spredningsmodell input'!$B$45*1000)</f>
        <v>#VALUE!</v>
      </c>
      <c r="BP82" s="294" t="e">
        <f t="shared" si="40"/>
        <v>#VALUE!</v>
      </c>
      <c r="BQ82" s="294" t="e">
        <f>BL82*1000000000/('1a. Spredningsmodell input'!$B$45*1000)</f>
        <v>#VALUE!</v>
      </c>
      <c r="BR82" s="295">
        <f t="shared" si="41"/>
        <v>100</v>
      </c>
      <c r="BS82" s="290" t="e">
        <f>($D82-Stoff!$P82*$D82)*EXP(-($F82+Stoff!$L82*365)*BR82)</f>
        <v>#VALUE!</v>
      </c>
      <c r="BT82" s="291" t="e">
        <f>(Stoff!$P82*$D82)*EXP(-'1a. Spredningsmodell input'!$B$43*BR82)</f>
        <v>#VALUE!</v>
      </c>
      <c r="BU82" s="290" t="e">
        <f>($D82-Stoff!$P82*$D82-BS82)*($F82/($F82+Stoff!$L82*365))</f>
        <v>#VALUE!</v>
      </c>
      <c r="BV82" s="290" t="e">
        <f>(Stoff!$P82*$D82)-BT82</f>
        <v>#VALUE!</v>
      </c>
      <c r="BW82" s="290" t="e">
        <f>($O82+BU82)*EXP(-($N82+Stoff!$M82*365)*BR82)</f>
        <v>#VALUE!</v>
      </c>
      <c r="BX82" s="290" t="e">
        <f>(Stoff!$P82*$O82+BV82)*EXP(-('1a. Spredningsmodell input'!$B$46)*BR82)</f>
        <v>#VALUE!</v>
      </c>
      <c r="BY82" s="292" t="e">
        <f>((BW82+BX82)*1000000000)/('1a. Spredningsmodell input'!$B$45*1000)</f>
        <v>#VALUE!</v>
      </c>
      <c r="BZ82" s="294" t="e">
        <f>0.001*BY82/('1a. Spredningsmodell input'!$C$25+'1a. Spredningsmodell input'!$C$26/Mellomregninger!$K82)</f>
        <v>#VALUE!</v>
      </c>
      <c r="CA82" s="294" t="e">
        <f>1000*BZ82/$K82+BX82*1000000000/('1a. Spredningsmodell input'!$B$45*1000)</f>
        <v>#VALUE!</v>
      </c>
      <c r="CB82" s="294" t="e">
        <f t="shared" si="42"/>
        <v>#VALUE!</v>
      </c>
      <c r="CC82" s="294" t="e">
        <f>BX82*1000000000/('1a. Spredningsmodell input'!$B$45*1000)</f>
        <v>#VALUE!</v>
      </c>
      <c r="CD82" s="294" t="e">
        <f>V82+'1a. Spredningsmodell input'!$C$35</f>
        <v>#VALUE!</v>
      </c>
      <c r="CE82" s="294" t="e">
        <f>($S82+$Q82*($O82+$I82*($D82*(1-Stoff!$P82))*(1-EXP(-($F82+Stoff!$L82*365)*CD82)))*(1-EXP(-($N82+Stoff!$M82*365)*CD82)))</f>
        <v>#VALUE!</v>
      </c>
      <c r="CF82" s="294" t="e">
        <f t="shared" si="43"/>
        <v>#VALUE!</v>
      </c>
      <c r="CG82" s="296" t="e">
        <f>(CF82/1000000)*'1a. Spredningsmodell input'!$B$49*'1a. Spredningsmodell input'!$C$35</f>
        <v>#VALUE!</v>
      </c>
      <c r="CH82" s="294" t="e">
        <f t="shared" si="44"/>
        <v>#VALUE!</v>
      </c>
      <c r="CI82" s="290" t="e">
        <f>(CH82/1000000)*'1a. Spredningsmodell input'!$B$49*'1a. Spredningsmodell input'!$C$35</f>
        <v>#VALUE!</v>
      </c>
      <c r="CJ82" s="297" t="e">
        <f>($S82)*EXP(-(Stoff!$N82*365+$U82)*CD82)+CG82</f>
        <v>#VALUE!</v>
      </c>
      <c r="CK82" s="297" t="e">
        <f>(Stoff!$P82*$S82+CI82)*EXP(-$T82*CD82)</f>
        <v>#VALUE!</v>
      </c>
      <c r="CL82" s="297" t="e">
        <f>(CJ82+CK82)*1000000000/('1a. Spredningsmodell input'!$C$36*1000)</f>
        <v>#VALUE!</v>
      </c>
      <c r="CM82" s="297" t="e">
        <f>$G82*(1-EXP(-'1a. Spredningsmodell input'!$B$43*Mellomregninger!CD82))*(1-EXP(-'1a. Spredningsmodell input'!$B$46*Mellomregninger!CD82))</f>
        <v>#VALUE!</v>
      </c>
      <c r="CN82" s="297"/>
      <c r="CO82" s="297"/>
      <c r="CP82" s="290">
        <f>IF(ISNUMBER(AH82),AH82+'1a. Spredningsmodell input'!$C$35,'1a. Spredningsmodell input'!$C$35)</f>
        <v>1</v>
      </c>
      <c r="CQ82" s="294" t="e">
        <f>($S82+$Q82*($O82+$I82*($D82*(1-Stoff!$P82))*(1-EXP(-($F82+Stoff!$L82*365)*CP82)))*(1-EXP(-($N82+Stoff!$M82*365)*CP82)))</f>
        <v>#VALUE!</v>
      </c>
      <c r="CR82" s="294" t="e">
        <f t="shared" si="45"/>
        <v>#VALUE!</v>
      </c>
      <c r="CS82" s="296" t="e">
        <f>(CR82/1000000)*('1a. Spredningsmodell input'!$B$49*'1a. Spredningsmodell input'!$C$35)</f>
        <v>#VALUE!</v>
      </c>
      <c r="CT82" s="294" t="e">
        <f t="shared" si="46"/>
        <v>#VALUE!</v>
      </c>
      <c r="CU82" s="290" t="e">
        <f>(CT82/1000000)*('1a. Spredningsmodell input'!$B$49)*'1a. Spredningsmodell input'!$C$35</f>
        <v>#VALUE!</v>
      </c>
      <c r="CV82" s="297" t="e">
        <f>($S82)*EXP(-(Stoff!$N82*365+$U82)*CP82)+CS82</f>
        <v>#VALUE!</v>
      </c>
      <c r="CW82" s="297" t="e">
        <f>(Stoff!$P82*$S82+CU82)*EXP(-$T82*CP82)</f>
        <v>#VALUE!</v>
      </c>
      <c r="CX82" s="297">
        <f>IF(ISERROR(CV82),0,(CV82+CW82)*1000000000/('1a. Spredningsmodell input'!$C$36*1000))</f>
        <v>0</v>
      </c>
      <c r="CY82" s="297" t="e">
        <f>$G82*(1-EXP(-'1a. Spredningsmodell input'!$B$43*Mellomregninger!CP82))*(1-EXP(-'1a. Spredningsmodell input'!$B$46*Mellomregninger!CP82))</f>
        <v>#VALUE!</v>
      </c>
      <c r="CZ82" s="297"/>
      <c r="DA82" s="297"/>
      <c r="DB82" s="262">
        <f t="shared" si="47"/>
        <v>5</v>
      </c>
      <c r="DC82" s="298" t="e">
        <f>($S82+$Q82*($O82+$I82*($D82*(1-Stoff!$P82))*(1-EXP(-($F82+Stoff!$L82*365)*DB82)))*(1-EXP(-($N82+Stoff!$M82*365)*DB82)))</f>
        <v>#VALUE!</v>
      </c>
      <c r="DD82" s="294" t="e">
        <f t="shared" si="48"/>
        <v>#VALUE!</v>
      </c>
      <c r="DE82" s="296" t="e">
        <f>(DD82/1000000)*('1a. Spredningsmodell input'!$B$49)*'1a. Spredningsmodell input'!$C$35</f>
        <v>#VALUE!</v>
      </c>
      <c r="DF82" s="294" t="e">
        <f t="shared" si="49"/>
        <v>#VALUE!</v>
      </c>
      <c r="DG82" s="290" t="e">
        <f>(DF82/1000000)*('1a. Spredningsmodell input'!$B$49)*'1a. Spredningsmodell input'!$C$35</f>
        <v>#VALUE!</v>
      </c>
      <c r="DH82" s="297" t="e">
        <f>($S82)*EXP(-(Stoff!$N82*365+$U82)*DB82)+DE82</f>
        <v>#VALUE!</v>
      </c>
      <c r="DI82" s="297" t="e">
        <f>(Stoff!$P82*$S82+DG82)*EXP(-$T82*DB82)</f>
        <v>#VALUE!</v>
      </c>
      <c r="DJ82" s="297" t="e">
        <f>(DH82+DI82)*1000000000/('1a. Spredningsmodell input'!$C$36*1000)</f>
        <v>#VALUE!</v>
      </c>
      <c r="DK82" s="297" t="e">
        <f>$G82*(1-EXP(-'1a. Spredningsmodell input'!$B$43*Mellomregninger!DB82))*(1-EXP(-'1a. Spredningsmodell input'!$B$46*Mellomregninger!DB82))</f>
        <v>#VALUE!</v>
      </c>
      <c r="DL82" s="297"/>
      <c r="DM82" s="297"/>
      <c r="DN82" s="262">
        <f t="shared" si="50"/>
        <v>20</v>
      </c>
      <c r="DO82" s="298" t="e">
        <f>($S82+$Q82*($O82+$I82*($D82*(1-Stoff!$P82))*(1-EXP(-($F82+Stoff!$L82*365)*DN82)))*(1-EXP(-($N82+Stoff!$M82*365)*DN82)))</f>
        <v>#VALUE!</v>
      </c>
      <c r="DP82" s="294" t="e">
        <f t="shared" si="51"/>
        <v>#VALUE!</v>
      </c>
      <c r="DQ82" s="296" t="e">
        <f>(DP82/1000000)*('1a. Spredningsmodell input'!$B$49)*'1a. Spredningsmodell input'!$C$35</f>
        <v>#VALUE!</v>
      </c>
      <c r="DR82" s="294" t="e">
        <f t="shared" si="52"/>
        <v>#VALUE!</v>
      </c>
      <c r="DS82" s="290" t="e">
        <f>(DR82/1000000)*('1a. Spredningsmodell input'!$B$49)*'1a. Spredningsmodell input'!$C$35</f>
        <v>#VALUE!</v>
      </c>
      <c r="DT82" s="297" t="e">
        <f>($S82)*EXP(-(Stoff!$N82*365+$U82)*DN82)+DQ82</f>
        <v>#VALUE!</v>
      </c>
      <c r="DU82" s="297" t="e">
        <f>(Stoff!$P82*$S82+DS82)*EXP(-$T82*DN82)</f>
        <v>#VALUE!</v>
      </c>
      <c r="DV82" s="297" t="e">
        <f>(DT82+DU82)*1000000000/('1a. Spredningsmodell input'!$C$36*1000)</f>
        <v>#VALUE!</v>
      </c>
      <c r="DW82" s="297" t="e">
        <f>$G82*(1-EXP(-'1a. Spredningsmodell input'!$B$43*Mellomregninger!DN82))*(1-EXP(-'1a. Spredningsmodell input'!$B$46*Mellomregninger!DN82))</f>
        <v>#VALUE!</v>
      </c>
      <c r="DX82" s="297"/>
      <c r="DY82" s="297"/>
      <c r="DZ82" s="262">
        <f t="shared" si="53"/>
        <v>100</v>
      </c>
      <c r="EA82" s="298" t="e">
        <f>($S82+$Q82*($O82+$I82*($D82*(1-Stoff!$P82))*(1-EXP(-($F82+Stoff!$L82*365)*DZ82)))*(1-EXP(-($N82+Stoff!$M82*365)*DZ82)))</f>
        <v>#VALUE!</v>
      </c>
      <c r="EB82" s="294" t="e">
        <f t="shared" si="54"/>
        <v>#VALUE!</v>
      </c>
      <c r="EC82" s="296" t="e">
        <f>(EB82/1000000)*('1a. Spredningsmodell input'!$B$49)*'1a. Spredningsmodell input'!$C$35</f>
        <v>#VALUE!</v>
      </c>
      <c r="ED82" s="294" t="e">
        <f t="shared" si="55"/>
        <v>#VALUE!</v>
      </c>
      <c r="EE82" s="290" t="e">
        <f>(ED82/1000000)*('1a. Spredningsmodell input'!$B$49)*'1a. Spredningsmodell input'!$C$35</f>
        <v>#VALUE!</v>
      </c>
      <c r="EF82" s="297" t="e">
        <f>($S82)*EXP(-(Stoff!$N82*365+$U82)*DZ82)+EC82</f>
        <v>#VALUE!</v>
      </c>
      <c r="EG82" s="297" t="e">
        <f>(Stoff!$P82*$S82+EE82)*EXP(-$T82*DZ82)</f>
        <v>#VALUE!</v>
      </c>
      <c r="EH82" s="297" t="e">
        <f>(EF82+EG82)*1000000000/('1a. Spredningsmodell input'!$C$36*1000)</f>
        <v>#VALUE!</v>
      </c>
      <c r="EI82" s="297" t="e">
        <f>$G82*(1-EXP(-'1a. Spredningsmodell input'!$B$43*Mellomregninger!DZ82))*(1-EXP(-'1a. Spredningsmodell input'!$B$46*Mellomregninger!DZ82))</f>
        <v>#VALUE!</v>
      </c>
      <c r="EJ82" s="297"/>
      <c r="EK82" s="297"/>
      <c r="EL82" s="262">
        <f t="shared" si="56"/>
        <v>1.0000000000000001E+25</v>
      </c>
      <c r="EM82" s="294" t="e">
        <f>($S82+$Q82*($O82+$I82*($D82*(1-Stoff!$P82))*(1-EXP(-($F82+Stoff!$L82*365)*EL82)))*(1-EXP(-($N82+Stoff!$M82*365)*EL82)))</f>
        <v>#VALUE!</v>
      </c>
      <c r="EN82" s="296" t="e">
        <f>($S82+$Q82*($O82+$I82*($D82*(1-Stoff!$P82))*(1-EXP(-($F82+Stoff!$L82*365)*(EL82-'1a. Spredningsmodell input'!$C$35))))*(1-EXP(-($N82+Stoff!$M82*365)*(EL82-'1a. Spredningsmodell input'!$C$35))))</f>
        <v>#VALUE!</v>
      </c>
      <c r="EO82" s="294" t="e">
        <f>IF(EL82&lt;'1a. Spredningsmodell input'!$C$35,EM82-($S82)*EXP(-(Stoff!$N82*365+$U82)*EL82),EM82-EN82)</f>
        <v>#VALUE!</v>
      </c>
      <c r="EP82" s="290" t="e">
        <f>((($D82*(Stoff!$P82))*(1-EXP(-'1a. Spredningsmodell input'!$B$43*EL82)))*(1-EXP(-'1a. Spredningsmodell input'!$B$46*EL82)))</f>
        <v>#VALUE!</v>
      </c>
      <c r="EQ82" s="294" t="e">
        <f>((($D82*(Stoff!$P82))*(1-EXP(-'1a. Spredningsmodell input'!$B$43*(EL82-'1a. Spredningsmodell input'!$C$35))))*(1-EXP(-'1a. Spredningsmodell input'!$B$46*(EL82-'1a. Spredningsmodell input'!$C$35))))</f>
        <v>#VALUE!</v>
      </c>
      <c r="ER82" s="290" t="e">
        <f>IF(EL82&lt;'1a. Spredningsmodell input'!$C$35,0,EP82-EQ82)</f>
        <v>#VALUE!</v>
      </c>
      <c r="ES82" s="297" t="e">
        <f>($S82)*EXP(-(Stoff!$N82*365+$U82)*EL82)+EO82</f>
        <v>#VALUE!</v>
      </c>
      <c r="ET82" s="297" t="e">
        <f>(Stoff!$P82*$S82+ER82)*EXP(-$T82*EL82)</f>
        <v>#VALUE!</v>
      </c>
      <c r="EU82" s="297" t="e">
        <f>(ES82+ET82)*1000000000/('1a. Spredningsmodell input'!$C$36*1000)</f>
        <v>#VALUE!</v>
      </c>
      <c r="EV82" s="262" t="e">
        <f t="shared" si="57"/>
        <v>#VALUE!</v>
      </c>
      <c r="EW82" s="299" t="e">
        <f t="shared" si="58"/>
        <v>#VALUE!</v>
      </c>
      <c r="EX82" s="262" t="e">
        <f t="shared" si="59"/>
        <v>#VALUE!</v>
      </c>
    </row>
    <row r="83" spans="1:154" x14ac:dyDescent="0.35">
      <c r="A83" s="50" t="s">
        <v>126</v>
      </c>
      <c r="B83" s="34" t="str">
        <f>IF(ISNUMBER('1c. Kons. porevann'!E83),1000*'1c. Kons. porevann'!E83,IF(ISNUMBER('1b. Kons. umettet jord'!E83),1000*'1b. Kons. umettet jord'!E83/C83,""))</f>
        <v/>
      </c>
      <c r="C83" s="244">
        <f>IF(Stoff!B83="uorganisk",Stoff!C83,Stoff!D83*'1a. Spredningsmodell input'!$C$11)</f>
        <v>1995.26</v>
      </c>
      <c r="D83" s="34" t="str">
        <f>IF(ISNUMBER(B83),0.000001*('1b. Kons. umettet jord'!G83*'1a. Spredningsmodell input'!$C$12+B83*0.001*'1a. Spredningsmodell input'!$C$14)*1000*'1a. Spredningsmodell input'!$B$41*'1a. Spredningsmodell input'!$C$18,"")</f>
        <v/>
      </c>
      <c r="E83" s="283">
        <f>C83*'1a. Spredningsmodell input'!$C$12/'1a. Spredningsmodell input'!$C$14+1</f>
        <v>16960.71</v>
      </c>
      <c r="F83" s="284">
        <f>'1a. Spredningsmodell input'!$B$43/E83</f>
        <v>8.843969385715573E-5</v>
      </c>
      <c r="G83" s="34" t="e">
        <f>Stoff!P83*Mellomregninger!D83</f>
        <v>#VALUE!</v>
      </c>
      <c r="H83" s="283" t="e">
        <f>(D83-G83)*(F83/(F83+Stoff!L83))</f>
        <v>#VALUE!</v>
      </c>
      <c r="I83" s="283">
        <f>F83/(F83+Stoff!L83)</f>
        <v>1</v>
      </c>
      <c r="J83" s="285" t="str">
        <f>IF(B83="","",IF(ISNUMBER('1d. Kons. mettet sone'!E83),'1d. Kons. mettet sone'!E83,IF(ISNUMBER('1e. Kons. grunnvann'!E83),'1e. Kons. grunnvann'!E83*Mellomregninger!K83,0)))</f>
        <v/>
      </c>
      <c r="K83" s="286">
        <f>IF(Stoff!B83="uorganisk",Stoff!C83,Stoff!D83*'1a. Spredningsmodell input'!$C$24)</f>
        <v>199.52600000000001</v>
      </c>
      <c r="L83" s="27" t="e">
        <f>IF(ISNUMBER('1e. Kons. grunnvann'!E83),1000*'1e. Kons. grunnvann'!E83,1000*J83/K83)</f>
        <v>#VALUE!</v>
      </c>
      <c r="M83" s="34">
        <f>K83*'1a. Spredningsmodell input'!$C$25/'1a. Spredningsmodell input'!$C$26+1</f>
        <v>848.9855</v>
      </c>
      <c r="N83" s="284">
        <f>'1a. Spredningsmodell input'!$C$26/M83</f>
        <v>4.7115056735362387E-4</v>
      </c>
      <c r="O83" s="287" t="e">
        <f>0.000000001*(J83*'1a. Spredningsmodell input'!$C$25+L83)*1000*'1a. Spredningsmodell input'!$B$45</f>
        <v>#VALUE!</v>
      </c>
      <c r="P83" s="287" t="e">
        <f>O83*Stoff!P83</f>
        <v>#VALUE!</v>
      </c>
      <c r="Q83" s="287">
        <f>N83/(N83+Stoff!M83)</f>
        <v>1</v>
      </c>
      <c r="R83" s="288">
        <f>IF(ISNUMBER('1f. Kons. resipient'!E83),'1f. Kons. resipient'!E83,0)</f>
        <v>0</v>
      </c>
      <c r="S83" s="288">
        <f>0.000000001*'1a. Spredningsmodell input'!$C$36*R83*1000</f>
        <v>0</v>
      </c>
      <c r="T83" s="288">
        <f>1/'1a. Spredningsmodell input'!$C$35</f>
        <v>1</v>
      </c>
      <c r="U83" s="288">
        <f>1/'1a. Spredningsmodell input'!$C$35</f>
        <v>1</v>
      </c>
      <c r="V83" s="300" t="e">
        <f>(1/($N83+Stoff!$L83))*(LN(($D83*$I83/($D83*$I83+$J83))*($F83+Stoff!$L83+$N83+Stoff!$M83)/($N83+Stoff!$M83)))</f>
        <v>#VALUE!</v>
      </c>
      <c r="W83" s="290" t="e">
        <f>($D83-Stoff!$P83*$D83)*EXP(-($F83+Stoff!$L83*365)*V83)</f>
        <v>#VALUE!</v>
      </c>
      <c r="X83" s="291" t="e">
        <f>(Stoff!$P83*$D83)*EXP(-'1a. Spredningsmodell input'!$B$43*V83)</f>
        <v>#VALUE!</v>
      </c>
      <c r="Y83" s="290" t="e">
        <f>($D83-Stoff!$P83*$D83-W83)*($F83/($F83+Stoff!$L83*365))</f>
        <v>#VALUE!</v>
      </c>
      <c r="Z83" s="290" t="e">
        <f>(Stoff!$P83*$D83)-X83</f>
        <v>#VALUE!</v>
      </c>
      <c r="AA83" s="290" t="e">
        <f>($O83+Y83)*EXP(-($N83+Stoff!$M83*365)*V83)</f>
        <v>#VALUE!</v>
      </c>
      <c r="AB83" s="290" t="e">
        <f>(Stoff!$P83*$O83+Z83)*EXP(-('1a. Spredningsmodell input'!$B$46)*V83)</f>
        <v>#VALUE!</v>
      </c>
      <c r="AC83" s="292" t="e">
        <f>((AA83+AB83)*1000000000)/('1a. Spredningsmodell input'!$B$45*1000)</f>
        <v>#VALUE!</v>
      </c>
      <c r="AD83" s="294" t="e">
        <f>0.001*AC83/('1a. Spredningsmodell input'!$C$25+'1a. Spredningsmodell input'!$C$26/Mellomregninger!$K83)</f>
        <v>#VALUE!</v>
      </c>
      <c r="AE83" s="294" t="e">
        <f>1000*AD83/$K83+AB83*1000000000/('1a. Spredningsmodell input'!$B$45*1000)</f>
        <v>#VALUE!</v>
      </c>
      <c r="AF83" s="294" t="e">
        <f t="shared" si="35"/>
        <v>#VALUE!</v>
      </c>
      <c r="AG83" s="294" t="e">
        <f>AB83*1000000000/('1a. Spredningsmodell input'!$B$45*1000)</f>
        <v>#VALUE!</v>
      </c>
      <c r="AH83" s="300" t="e">
        <f>(1/('1a. Spredningsmodell input'!$B$46))*(LN(($D83*Stoff!$P83/($D83*Stoff!$P83+$P83*Stoff!$P83))*('1a. Spredningsmodell input'!$B$43+'1a. Spredningsmodell input'!$B$46)/('1a. Spredningsmodell input'!$B$46)))</f>
        <v>#VALUE!</v>
      </c>
      <c r="AI83" s="290" t="e">
        <f>($D83-Stoff!$P83*$D83)*EXP(-($F83+Stoff!$L83*365)*AH83)</f>
        <v>#VALUE!</v>
      </c>
      <c r="AJ83" s="291" t="e">
        <f>(Stoff!$P83*$D83)*EXP(-'1a. Spredningsmodell input'!$B$43*AH83)</f>
        <v>#VALUE!</v>
      </c>
      <c r="AK83" s="290" t="e">
        <f>($D83-Stoff!$P83*$D83-AI83)*($F83/($F83+Stoff!$L83*365))</f>
        <v>#VALUE!</v>
      </c>
      <c r="AL83" s="290" t="e">
        <f>(Stoff!$P83*$D83)-AJ83</f>
        <v>#VALUE!</v>
      </c>
      <c r="AM83" s="290" t="e">
        <f>($O83+AK83)*EXP(-($N83+Stoff!$M83*365)*AH83)</f>
        <v>#VALUE!</v>
      </c>
      <c r="AN83" s="290" t="e">
        <f>(Stoff!$P83*$O83+AL83)*EXP(-('1a. Spredningsmodell input'!$B$46)*AH83)</f>
        <v>#VALUE!</v>
      </c>
      <c r="AO83" s="292" t="e">
        <f>((AM83+AN83)*1000000000)/('1a. Spredningsmodell input'!$B$45*1000)</f>
        <v>#VALUE!</v>
      </c>
      <c r="AP83" s="294" t="e">
        <f>0.001*AO83/('1a. Spredningsmodell input'!$C$25+'1a. Spredningsmodell input'!$C$26/Mellomregninger!$K83)</f>
        <v>#VALUE!</v>
      </c>
      <c r="AQ83" s="294" t="e">
        <f>1000*AP83/$K83+AN83*1000000000/('1a. Spredningsmodell input'!$B$45*1000)</f>
        <v>#VALUE!</v>
      </c>
      <c r="AR83" s="294" t="e">
        <f t="shared" si="36"/>
        <v>#VALUE!</v>
      </c>
      <c r="AS83" s="294" t="e">
        <f>AN83*1000000000/('1a. Spredningsmodell input'!$B$45*1000)</f>
        <v>#VALUE!</v>
      </c>
      <c r="AT83" s="295">
        <f t="shared" si="37"/>
        <v>5</v>
      </c>
      <c r="AU83" s="290" t="e">
        <f>($D83-Stoff!$P83*$D83)*EXP(-($F83+Stoff!$L83*365)*AT83)</f>
        <v>#VALUE!</v>
      </c>
      <c r="AV83" s="291" t="e">
        <f>(Stoff!$P83*$D83)*EXP(-'1a. Spredningsmodell input'!$B$43*AT83)</f>
        <v>#VALUE!</v>
      </c>
      <c r="AW83" s="290" t="e">
        <f>($D83-Stoff!$P83*$D83-AU83)*($F83/($F83+Stoff!$L83*365))</f>
        <v>#VALUE!</v>
      </c>
      <c r="AX83" s="290" t="e">
        <f>(Stoff!$P83*$D83)-AV83</f>
        <v>#VALUE!</v>
      </c>
      <c r="AY83" s="290" t="e">
        <f>($O83+AW83)*EXP(-($N83+Stoff!$M83*365)*AT83)</f>
        <v>#VALUE!</v>
      </c>
      <c r="AZ83" s="290" t="e">
        <f>(Stoff!$P83*$O83+AX83)*EXP(-('1a. Spredningsmodell input'!$B$46)*AT83)</f>
        <v>#VALUE!</v>
      </c>
      <c r="BA83" s="292" t="e">
        <f>((AY83+AZ83)*1000000000)/('1a. Spredningsmodell input'!$B$45*1000)</f>
        <v>#VALUE!</v>
      </c>
      <c r="BB83" s="294" t="e">
        <f>0.001*BA83/('1a. Spredningsmodell input'!$C$25+'1a. Spredningsmodell input'!$C$26/Mellomregninger!$K83)</f>
        <v>#VALUE!</v>
      </c>
      <c r="BC83" s="294" t="e">
        <f>1000*BB83/$K83+AZ83*1000000000/('1a. Spredningsmodell input'!$B$45*1000)</f>
        <v>#VALUE!</v>
      </c>
      <c r="BD83" s="294" t="e">
        <f t="shared" si="38"/>
        <v>#VALUE!</v>
      </c>
      <c r="BE83" s="294" t="e">
        <f>AZ83*1000000000/('1a. Spredningsmodell input'!$B$45*1000)</f>
        <v>#VALUE!</v>
      </c>
      <c r="BF83" s="295">
        <f t="shared" si="39"/>
        <v>20</v>
      </c>
      <c r="BG83" s="290" t="e">
        <f>($D83-Stoff!$P83*$D83)*EXP(-($F83+Stoff!$L83*365)*BF83)</f>
        <v>#VALUE!</v>
      </c>
      <c r="BH83" s="291" t="e">
        <f>(Stoff!$P83*$D83)*EXP(-'1a. Spredningsmodell input'!$B$43*BF83)</f>
        <v>#VALUE!</v>
      </c>
      <c r="BI83" s="290" t="e">
        <f>($D83-Stoff!$P83*$D83-BG83)*($F83/($F83+Stoff!$L83*365))</f>
        <v>#VALUE!</v>
      </c>
      <c r="BJ83" s="290" t="e">
        <f>(Stoff!$P83*$D83)-BH83</f>
        <v>#VALUE!</v>
      </c>
      <c r="BK83" s="290" t="e">
        <f>($O83+BI83)*EXP(-($N83+Stoff!$M83*365)*BF83)</f>
        <v>#VALUE!</v>
      </c>
      <c r="BL83" s="290" t="e">
        <f>(Stoff!$P83*$O83+BJ83)*EXP(-('1a. Spredningsmodell input'!$B$46)*BF83)</f>
        <v>#VALUE!</v>
      </c>
      <c r="BM83" s="292" t="e">
        <f>((BK83+BL83)*1000000000)/('1a. Spredningsmodell input'!$B$45*1000)</f>
        <v>#VALUE!</v>
      </c>
      <c r="BN83" s="294" t="e">
        <f>0.001*BM83/('1a. Spredningsmodell input'!$C$25+'1a. Spredningsmodell input'!$C$26/Mellomregninger!$K83)</f>
        <v>#VALUE!</v>
      </c>
      <c r="BO83" s="294" t="e">
        <f>1000*BN83/$K83+BL83*1000000000/('1a. Spredningsmodell input'!$B$45*1000)</f>
        <v>#VALUE!</v>
      </c>
      <c r="BP83" s="294" t="e">
        <f t="shared" si="40"/>
        <v>#VALUE!</v>
      </c>
      <c r="BQ83" s="294" t="e">
        <f>BL83*1000000000/('1a. Spredningsmodell input'!$B$45*1000)</f>
        <v>#VALUE!</v>
      </c>
      <c r="BR83" s="295">
        <f t="shared" si="41"/>
        <v>100</v>
      </c>
      <c r="BS83" s="290" t="e">
        <f>($D83-Stoff!$P83*$D83)*EXP(-($F83+Stoff!$L83*365)*BR83)</f>
        <v>#VALUE!</v>
      </c>
      <c r="BT83" s="291" t="e">
        <f>(Stoff!$P83*$D83)*EXP(-'1a. Spredningsmodell input'!$B$43*BR83)</f>
        <v>#VALUE!</v>
      </c>
      <c r="BU83" s="290" t="e">
        <f>($D83-Stoff!$P83*$D83-BS83)*($F83/($F83+Stoff!$L83*365))</f>
        <v>#VALUE!</v>
      </c>
      <c r="BV83" s="290" t="e">
        <f>(Stoff!$P83*$D83)-BT83</f>
        <v>#VALUE!</v>
      </c>
      <c r="BW83" s="290" t="e">
        <f>($O83+BU83)*EXP(-($N83+Stoff!$M83*365)*BR83)</f>
        <v>#VALUE!</v>
      </c>
      <c r="BX83" s="290" t="e">
        <f>(Stoff!$P83*$O83+BV83)*EXP(-('1a. Spredningsmodell input'!$B$46)*BR83)</f>
        <v>#VALUE!</v>
      </c>
      <c r="BY83" s="292" t="e">
        <f>((BW83+BX83)*1000000000)/('1a. Spredningsmodell input'!$B$45*1000)</f>
        <v>#VALUE!</v>
      </c>
      <c r="BZ83" s="294" t="e">
        <f>0.001*BY83/('1a. Spredningsmodell input'!$C$25+'1a. Spredningsmodell input'!$C$26/Mellomregninger!$K83)</f>
        <v>#VALUE!</v>
      </c>
      <c r="CA83" s="294" t="e">
        <f>1000*BZ83/$K83+BX83*1000000000/('1a. Spredningsmodell input'!$B$45*1000)</f>
        <v>#VALUE!</v>
      </c>
      <c r="CB83" s="294" t="e">
        <f t="shared" si="42"/>
        <v>#VALUE!</v>
      </c>
      <c r="CC83" s="294" t="e">
        <f>BX83*1000000000/('1a. Spredningsmodell input'!$B$45*1000)</f>
        <v>#VALUE!</v>
      </c>
      <c r="CD83" s="294" t="e">
        <f>V83+'1a. Spredningsmodell input'!$C$35</f>
        <v>#VALUE!</v>
      </c>
      <c r="CE83" s="294" t="e">
        <f>($S83+$Q83*($O83+$I83*($D83*(1-Stoff!$P83))*(1-EXP(-($F83+Stoff!$L83*365)*CD83)))*(1-EXP(-($N83+Stoff!$M83*365)*CD83)))</f>
        <v>#VALUE!</v>
      </c>
      <c r="CF83" s="294" t="e">
        <f t="shared" si="43"/>
        <v>#VALUE!</v>
      </c>
      <c r="CG83" s="296" t="e">
        <f>(CF83/1000000)*'1a. Spredningsmodell input'!$B$49*'1a. Spredningsmodell input'!$C$35</f>
        <v>#VALUE!</v>
      </c>
      <c r="CH83" s="294" t="e">
        <f t="shared" si="44"/>
        <v>#VALUE!</v>
      </c>
      <c r="CI83" s="290" t="e">
        <f>(CH83/1000000)*'1a. Spredningsmodell input'!$B$49*'1a. Spredningsmodell input'!$C$35</f>
        <v>#VALUE!</v>
      </c>
      <c r="CJ83" s="297" t="e">
        <f>($S83)*EXP(-(Stoff!$N83*365+$U83)*CD83)+CG83</f>
        <v>#VALUE!</v>
      </c>
      <c r="CK83" s="297" t="e">
        <f>(Stoff!$P83*$S83+CI83)*EXP(-$T83*CD83)</f>
        <v>#VALUE!</v>
      </c>
      <c r="CL83" s="297" t="e">
        <f>(CJ83+CK83)*1000000000/('1a. Spredningsmodell input'!$C$36*1000)</f>
        <v>#VALUE!</v>
      </c>
      <c r="CM83" s="297" t="e">
        <f>$G83*(1-EXP(-'1a. Spredningsmodell input'!$B$43*Mellomregninger!CD83))*(1-EXP(-'1a. Spredningsmodell input'!$B$46*Mellomregninger!CD83))</f>
        <v>#VALUE!</v>
      </c>
      <c r="CN83" s="297"/>
      <c r="CO83" s="297"/>
      <c r="CP83" s="290">
        <f>IF(ISNUMBER(AH83),AH83+'1a. Spredningsmodell input'!$C$35,'1a. Spredningsmodell input'!$C$35)</f>
        <v>1</v>
      </c>
      <c r="CQ83" s="294" t="e">
        <f>($S83+$Q83*($O83+$I83*($D83*(1-Stoff!$P83))*(1-EXP(-($F83+Stoff!$L83*365)*CP83)))*(1-EXP(-($N83+Stoff!$M83*365)*CP83)))</f>
        <v>#VALUE!</v>
      </c>
      <c r="CR83" s="294" t="e">
        <f t="shared" si="45"/>
        <v>#VALUE!</v>
      </c>
      <c r="CS83" s="296" t="e">
        <f>(CR83/1000000)*('1a. Spredningsmodell input'!$B$49*'1a. Spredningsmodell input'!$C$35)</f>
        <v>#VALUE!</v>
      </c>
      <c r="CT83" s="294" t="e">
        <f t="shared" si="46"/>
        <v>#VALUE!</v>
      </c>
      <c r="CU83" s="290" t="e">
        <f>(CT83/1000000)*('1a. Spredningsmodell input'!$B$49)*'1a. Spredningsmodell input'!$C$35</f>
        <v>#VALUE!</v>
      </c>
      <c r="CV83" s="297" t="e">
        <f>($S83)*EXP(-(Stoff!$N83*365+$U83)*CP83)+CS83</f>
        <v>#VALUE!</v>
      </c>
      <c r="CW83" s="297" t="e">
        <f>(Stoff!$P83*$S83+CU83)*EXP(-$T83*CP83)</f>
        <v>#VALUE!</v>
      </c>
      <c r="CX83" s="297">
        <f>IF(ISERROR(CV83),0,(CV83+CW83)*1000000000/('1a. Spredningsmodell input'!$C$36*1000))</f>
        <v>0</v>
      </c>
      <c r="CY83" s="297" t="e">
        <f>$G83*(1-EXP(-'1a. Spredningsmodell input'!$B$43*Mellomregninger!CP83))*(1-EXP(-'1a. Spredningsmodell input'!$B$46*Mellomregninger!CP83))</f>
        <v>#VALUE!</v>
      </c>
      <c r="CZ83" s="297"/>
      <c r="DA83" s="297"/>
      <c r="DB83" s="262">
        <f t="shared" si="47"/>
        <v>5</v>
      </c>
      <c r="DC83" s="298" t="e">
        <f>($S83+$Q83*($O83+$I83*($D83*(1-Stoff!$P83))*(1-EXP(-($F83+Stoff!$L83*365)*DB83)))*(1-EXP(-($N83+Stoff!$M83*365)*DB83)))</f>
        <v>#VALUE!</v>
      </c>
      <c r="DD83" s="294" t="e">
        <f t="shared" si="48"/>
        <v>#VALUE!</v>
      </c>
      <c r="DE83" s="296" t="e">
        <f>(DD83/1000000)*('1a. Spredningsmodell input'!$B$49)*'1a. Spredningsmodell input'!$C$35</f>
        <v>#VALUE!</v>
      </c>
      <c r="DF83" s="294" t="e">
        <f t="shared" si="49"/>
        <v>#VALUE!</v>
      </c>
      <c r="DG83" s="290" t="e">
        <f>(DF83/1000000)*('1a. Spredningsmodell input'!$B$49)*'1a. Spredningsmodell input'!$C$35</f>
        <v>#VALUE!</v>
      </c>
      <c r="DH83" s="297" t="e">
        <f>($S83)*EXP(-(Stoff!$N83*365+$U83)*DB83)+DE83</f>
        <v>#VALUE!</v>
      </c>
      <c r="DI83" s="297" t="e">
        <f>(Stoff!$P83*$S83+DG83)*EXP(-$T83*DB83)</f>
        <v>#VALUE!</v>
      </c>
      <c r="DJ83" s="297" t="e">
        <f>(DH83+DI83)*1000000000/('1a. Spredningsmodell input'!$C$36*1000)</f>
        <v>#VALUE!</v>
      </c>
      <c r="DK83" s="297" t="e">
        <f>$G83*(1-EXP(-'1a. Spredningsmodell input'!$B$43*Mellomregninger!DB83))*(1-EXP(-'1a. Spredningsmodell input'!$B$46*Mellomregninger!DB83))</f>
        <v>#VALUE!</v>
      </c>
      <c r="DL83" s="297"/>
      <c r="DM83" s="297"/>
      <c r="DN83" s="262">
        <f t="shared" si="50"/>
        <v>20</v>
      </c>
      <c r="DO83" s="298" t="e">
        <f>($S83+$Q83*($O83+$I83*($D83*(1-Stoff!$P83))*(1-EXP(-($F83+Stoff!$L83*365)*DN83)))*(1-EXP(-($N83+Stoff!$M83*365)*DN83)))</f>
        <v>#VALUE!</v>
      </c>
      <c r="DP83" s="294" t="e">
        <f t="shared" si="51"/>
        <v>#VALUE!</v>
      </c>
      <c r="DQ83" s="296" t="e">
        <f>(DP83/1000000)*('1a. Spredningsmodell input'!$B$49)*'1a. Spredningsmodell input'!$C$35</f>
        <v>#VALUE!</v>
      </c>
      <c r="DR83" s="294" t="e">
        <f t="shared" si="52"/>
        <v>#VALUE!</v>
      </c>
      <c r="DS83" s="290" t="e">
        <f>(DR83/1000000)*('1a. Spredningsmodell input'!$B$49)*'1a. Spredningsmodell input'!$C$35</f>
        <v>#VALUE!</v>
      </c>
      <c r="DT83" s="297" t="e">
        <f>($S83)*EXP(-(Stoff!$N83*365+$U83)*DN83)+DQ83</f>
        <v>#VALUE!</v>
      </c>
      <c r="DU83" s="297" t="e">
        <f>(Stoff!$P83*$S83+DS83)*EXP(-$T83*DN83)</f>
        <v>#VALUE!</v>
      </c>
      <c r="DV83" s="297" t="e">
        <f>(DT83+DU83)*1000000000/('1a. Spredningsmodell input'!$C$36*1000)</f>
        <v>#VALUE!</v>
      </c>
      <c r="DW83" s="297" t="e">
        <f>$G83*(1-EXP(-'1a. Spredningsmodell input'!$B$43*Mellomregninger!DN83))*(1-EXP(-'1a. Spredningsmodell input'!$B$46*Mellomregninger!DN83))</f>
        <v>#VALUE!</v>
      </c>
      <c r="DX83" s="297"/>
      <c r="DY83" s="297"/>
      <c r="DZ83" s="262">
        <f t="shared" si="53"/>
        <v>100</v>
      </c>
      <c r="EA83" s="298" t="e">
        <f>($S83+$Q83*($O83+$I83*($D83*(1-Stoff!$P83))*(1-EXP(-($F83+Stoff!$L83*365)*DZ83)))*(1-EXP(-($N83+Stoff!$M83*365)*DZ83)))</f>
        <v>#VALUE!</v>
      </c>
      <c r="EB83" s="294" t="e">
        <f t="shared" si="54"/>
        <v>#VALUE!</v>
      </c>
      <c r="EC83" s="296" t="e">
        <f>(EB83/1000000)*('1a. Spredningsmodell input'!$B$49)*'1a. Spredningsmodell input'!$C$35</f>
        <v>#VALUE!</v>
      </c>
      <c r="ED83" s="294" t="e">
        <f t="shared" si="55"/>
        <v>#VALUE!</v>
      </c>
      <c r="EE83" s="290" t="e">
        <f>(ED83/1000000)*('1a. Spredningsmodell input'!$B$49)*'1a. Spredningsmodell input'!$C$35</f>
        <v>#VALUE!</v>
      </c>
      <c r="EF83" s="297" t="e">
        <f>($S83)*EXP(-(Stoff!$N83*365+$U83)*DZ83)+EC83</f>
        <v>#VALUE!</v>
      </c>
      <c r="EG83" s="297" t="e">
        <f>(Stoff!$P83*$S83+EE83)*EXP(-$T83*DZ83)</f>
        <v>#VALUE!</v>
      </c>
      <c r="EH83" s="297" t="e">
        <f>(EF83+EG83)*1000000000/('1a. Spredningsmodell input'!$C$36*1000)</f>
        <v>#VALUE!</v>
      </c>
      <c r="EI83" s="297" t="e">
        <f>$G83*(1-EXP(-'1a. Spredningsmodell input'!$B$43*Mellomregninger!DZ83))*(1-EXP(-'1a. Spredningsmodell input'!$B$46*Mellomregninger!DZ83))</f>
        <v>#VALUE!</v>
      </c>
      <c r="EJ83" s="297"/>
      <c r="EK83" s="297"/>
      <c r="EL83" s="262">
        <f t="shared" si="56"/>
        <v>1.0000000000000001E+25</v>
      </c>
      <c r="EM83" s="294" t="e">
        <f>($S83+$Q83*($O83+$I83*($D83*(1-Stoff!$P83))*(1-EXP(-($F83+Stoff!$L83*365)*EL83)))*(1-EXP(-($N83+Stoff!$M83*365)*EL83)))</f>
        <v>#VALUE!</v>
      </c>
      <c r="EN83" s="296" t="e">
        <f>($S83+$Q83*($O83+$I83*($D83*(1-Stoff!$P83))*(1-EXP(-($F83+Stoff!$L83*365)*(EL83-'1a. Spredningsmodell input'!$C$35))))*(1-EXP(-($N83+Stoff!$M83*365)*(EL83-'1a. Spredningsmodell input'!$C$35))))</f>
        <v>#VALUE!</v>
      </c>
      <c r="EO83" s="294" t="e">
        <f>IF(EL83&lt;'1a. Spredningsmodell input'!$C$35,EM83-($S83)*EXP(-(Stoff!$N83*365+$U83)*EL83),EM83-EN83)</f>
        <v>#VALUE!</v>
      </c>
      <c r="EP83" s="290" t="e">
        <f>((($D83*(Stoff!$P83))*(1-EXP(-'1a. Spredningsmodell input'!$B$43*EL83)))*(1-EXP(-'1a. Spredningsmodell input'!$B$46*EL83)))</f>
        <v>#VALUE!</v>
      </c>
      <c r="EQ83" s="294" t="e">
        <f>((($D83*(Stoff!$P83))*(1-EXP(-'1a. Spredningsmodell input'!$B$43*(EL83-'1a. Spredningsmodell input'!$C$35))))*(1-EXP(-'1a. Spredningsmodell input'!$B$46*(EL83-'1a. Spredningsmodell input'!$C$35))))</f>
        <v>#VALUE!</v>
      </c>
      <c r="ER83" s="290" t="e">
        <f>IF(EL83&lt;'1a. Spredningsmodell input'!$C$35,0,EP83-EQ83)</f>
        <v>#VALUE!</v>
      </c>
      <c r="ES83" s="297" t="e">
        <f>($S83)*EXP(-(Stoff!$N83*365+$U83)*EL83)+EO83</f>
        <v>#VALUE!</v>
      </c>
      <c r="ET83" s="297" t="e">
        <f>(Stoff!$P83*$S83+ER83)*EXP(-$T83*EL83)</f>
        <v>#VALUE!</v>
      </c>
      <c r="EU83" s="297" t="e">
        <f>(ES83+ET83)*1000000000/('1a. Spredningsmodell input'!$C$36*1000)</f>
        <v>#VALUE!</v>
      </c>
      <c r="EV83" s="262" t="e">
        <f t="shared" si="57"/>
        <v>#VALUE!</v>
      </c>
      <c r="EW83" s="299" t="e">
        <f t="shared" si="58"/>
        <v>#VALUE!</v>
      </c>
      <c r="EX83" s="262" t="e">
        <f t="shared" si="59"/>
        <v>#VALUE!</v>
      </c>
    </row>
    <row r="84" spans="1:154" x14ac:dyDescent="0.35">
      <c r="A84" s="50" t="s">
        <v>125</v>
      </c>
      <c r="B84" s="34" t="str">
        <f>IF(ISNUMBER('1c. Kons. porevann'!E84),1000*'1c. Kons. porevann'!E84,IF(ISNUMBER('1b. Kons. umettet jord'!E84),1000*'1b. Kons. umettet jord'!E84/C84,""))</f>
        <v/>
      </c>
      <c r="C84" s="244">
        <f>IF(Stoff!B84="uorganisk",Stoff!C84,Stoff!D84*'1a. Spredningsmodell input'!$C$11)</f>
        <v>0</v>
      </c>
      <c r="D84" s="34" t="str">
        <f>IF(ISNUMBER(B84),0.000001*('1b. Kons. umettet jord'!G84*'1a. Spredningsmodell input'!$C$12+B84*0.001*'1a. Spredningsmodell input'!$C$14)*1000*'1a. Spredningsmodell input'!$B$41*'1a. Spredningsmodell input'!$C$18,"")</f>
        <v/>
      </c>
      <c r="E84" s="283">
        <f>C84*'1a. Spredningsmodell input'!$C$12/'1a. Spredningsmodell input'!$C$14+1</f>
        <v>1</v>
      </c>
      <c r="F84" s="284">
        <f>'1a. Spredningsmodell input'!$B$43/E84</f>
        <v>1.4999999999999998</v>
      </c>
      <c r="G84" s="34" t="e">
        <f>Stoff!P84*Mellomregninger!D84</f>
        <v>#VALUE!</v>
      </c>
      <c r="H84" s="283" t="e">
        <f>(D84-G84)*(F84/(F84+Stoff!L84))</f>
        <v>#VALUE!</v>
      </c>
      <c r="I84" s="283">
        <f>F84/(F84+Stoff!L84)</f>
        <v>1</v>
      </c>
      <c r="J84" s="285" t="str">
        <f>IF(B84="","",IF(ISNUMBER('1d. Kons. mettet sone'!E84),'1d. Kons. mettet sone'!E84,IF(ISNUMBER('1e. Kons. grunnvann'!E84),'1e. Kons. grunnvann'!E84*Mellomregninger!K84,0)))</f>
        <v/>
      </c>
      <c r="K84" s="286">
        <f>IF(Stoff!B84="uorganisk",Stoff!C84,Stoff!D84*'1a. Spredningsmodell input'!$C$24)</f>
        <v>0</v>
      </c>
      <c r="L84" s="27" t="e">
        <f>IF(ISNUMBER('1e. Kons. grunnvann'!E84),1000*'1e. Kons. grunnvann'!E84,1000*J84/K84)</f>
        <v>#VALUE!</v>
      </c>
      <c r="M84" s="34">
        <f>K84*'1a. Spredningsmodell input'!$C$25/'1a. Spredningsmodell input'!$C$26+1</f>
        <v>1</v>
      </c>
      <c r="N84" s="284">
        <f>'1a. Spredningsmodell input'!$C$26/M84</f>
        <v>0.4</v>
      </c>
      <c r="O84" s="287" t="e">
        <f>0.000000001*(J84*'1a. Spredningsmodell input'!$C$25+L84)*1000*'1a. Spredningsmodell input'!$B$45</f>
        <v>#VALUE!</v>
      </c>
      <c r="P84" s="287" t="e">
        <f>O84*Stoff!P84</f>
        <v>#VALUE!</v>
      </c>
      <c r="Q84" s="287">
        <f>N84/(N84+Stoff!M84)</f>
        <v>1</v>
      </c>
      <c r="R84" s="288">
        <f>IF(ISNUMBER('1f. Kons. resipient'!E84),'1f. Kons. resipient'!E84,0)</f>
        <v>0</v>
      </c>
      <c r="S84" s="288">
        <f>0.000000001*'1a. Spredningsmodell input'!$C$36*R84*1000</f>
        <v>0</v>
      </c>
      <c r="T84" s="288">
        <f>1/'1a. Spredningsmodell input'!$C$35</f>
        <v>1</v>
      </c>
      <c r="U84" s="288">
        <f>1/'1a. Spredningsmodell input'!$C$35</f>
        <v>1</v>
      </c>
      <c r="V84" s="300" t="e">
        <f>(1/($N84+Stoff!$L84))*(LN(($D84*$I84/($D84*$I84+$J84))*($F84+Stoff!$L84+$N84+Stoff!$M84)/($N84+Stoff!$M84)))</f>
        <v>#VALUE!</v>
      </c>
      <c r="W84" s="290" t="e">
        <f>($D84-Stoff!$P84*$D84)*EXP(-($F84+Stoff!$L84*365)*V84)</f>
        <v>#VALUE!</v>
      </c>
      <c r="X84" s="291" t="e">
        <f>(Stoff!$P84*$D84)*EXP(-'1a. Spredningsmodell input'!$B$43*V84)</f>
        <v>#VALUE!</v>
      </c>
      <c r="Y84" s="290" t="e">
        <f>($D84-Stoff!$P84*$D84-W84)*($F84/($F84+Stoff!$L84*365))</f>
        <v>#VALUE!</v>
      </c>
      <c r="Z84" s="290" t="e">
        <f>(Stoff!$P84*$D84)-X84</f>
        <v>#VALUE!</v>
      </c>
      <c r="AA84" s="290" t="e">
        <f>($O84+Y84)*EXP(-($N84+Stoff!$M84*365)*V84)</f>
        <v>#VALUE!</v>
      </c>
      <c r="AB84" s="290" t="e">
        <f>(Stoff!$P84*$O84+Z84)*EXP(-('1a. Spredningsmodell input'!$B$46)*V84)</f>
        <v>#VALUE!</v>
      </c>
      <c r="AC84" s="292" t="e">
        <f>((AA84+AB84)*1000000000)/('1a. Spredningsmodell input'!$B$45*1000)</f>
        <v>#VALUE!</v>
      </c>
      <c r="AD84" s="294" t="e">
        <f>0.001*AC84/('1a. Spredningsmodell input'!$C$25+'1a. Spredningsmodell input'!$C$26/Mellomregninger!$K84)</f>
        <v>#VALUE!</v>
      </c>
      <c r="AE84" s="294" t="e">
        <f>1000*AD84/$K84+AB84*1000000000/('1a. Spredningsmodell input'!$B$45*1000)</f>
        <v>#VALUE!</v>
      </c>
      <c r="AF84" s="294" t="e">
        <f t="shared" si="35"/>
        <v>#VALUE!</v>
      </c>
      <c r="AG84" s="294" t="e">
        <f>AB84*1000000000/('1a. Spredningsmodell input'!$B$45*1000)</f>
        <v>#VALUE!</v>
      </c>
      <c r="AH84" s="300" t="e">
        <f>(1/('1a. Spredningsmodell input'!$B$46))*(LN(($D84*Stoff!$P84/($D84*Stoff!$P84+$P84*Stoff!$P84))*('1a. Spredningsmodell input'!$B$43+'1a. Spredningsmodell input'!$B$46)/('1a. Spredningsmodell input'!$B$46)))</f>
        <v>#VALUE!</v>
      </c>
      <c r="AI84" s="290" t="e">
        <f>($D84-Stoff!$P84*$D84)*EXP(-($F84+Stoff!$L84*365)*AH84)</f>
        <v>#VALUE!</v>
      </c>
      <c r="AJ84" s="291" t="e">
        <f>(Stoff!$P84*$D84)*EXP(-'1a. Spredningsmodell input'!$B$43*AH84)</f>
        <v>#VALUE!</v>
      </c>
      <c r="AK84" s="290" t="e">
        <f>($D84-Stoff!$P84*$D84-AI84)*($F84/($F84+Stoff!$L84*365))</f>
        <v>#VALUE!</v>
      </c>
      <c r="AL84" s="290" t="e">
        <f>(Stoff!$P84*$D84)-AJ84</f>
        <v>#VALUE!</v>
      </c>
      <c r="AM84" s="290" t="e">
        <f>($O84+AK84)*EXP(-($N84+Stoff!$M84*365)*AH84)</f>
        <v>#VALUE!</v>
      </c>
      <c r="AN84" s="290" t="e">
        <f>(Stoff!$P84*$O84+AL84)*EXP(-('1a. Spredningsmodell input'!$B$46)*AH84)</f>
        <v>#VALUE!</v>
      </c>
      <c r="AO84" s="292" t="e">
        <f>((AM84+AN84)*1000000000)/('1a. Spredningsmodell input'!$B$45*1000)</f>
        <v>#VALUE!</v>
      </c>
      <c r="AP84" s="294" t="e">
        <f>0.001*AO84/('1a. Spredningsmodell input'!$C$25+'1a. Spredningsmodell input'!$C$26/Mellomregninger!$K84)</f>
        <v>#VALUE!</v>
      </c>
      <c r="AQ84" s="294" t="e">
        <f>1000*AP84/$K84+AN84*1000000000/('1a. Spredningsmodell input'!$B$45*1000)</f>
        <v>#VALUE!</v>
      </c>
      <c r="AR84" s="294" t="e">
        <f t="shared" si="36"/>
        <v>#VALUE!</v>
      </c>
      <c r="AS84" s="294" t="e">
        <f>AN84*1000000000/('1a. Spredningsmodell input'!$B$45*1000)</f>
        <v>#VALUE!</v>
      </c>
      <c r="AT84" s="295">
        <f t="shared" si="37"/>
        <v>5</v>
      </c>
      <c r="AU84" s="290" t="e">
        <f>($D84-Stoff!$P84*$D84)*EXP(-($F84+Stoff!$L84*365)*AT84)</f>
        <v>#VALUE!</v>
      </c>
      <c r="AV84" s="291" t="e">
        <f>(Stoff!$P84*$D84)*EXP(-'1a. Spredningsmodell input'!$B$43*AT84)</f>
        <v>#VALUE!</v>
      </c>
      <c r="AW84" s="290" t="e">
        <f>($D84-Stoff!$P84*$D84-AU84)*($F84/($F84+Stoff!$L84*365))</f>
        <v>#VALUE!</v>
      </c>
      <c r="AX84" s="290" t="e">
        <f>(Stoff!$P84*$D84)-AV84</f>
        <v>#VALUE!</v>
      </c>
      <c r="AY84" s="290" t="e">
        <f>($O84+AW84)*EXP(-($N84+Stoff!$M84*365)*AT84)</f>
        <v>#VALUE!</v>
      </c>
      <c r="AZ84" s="290" t="e">
        <f>(Stoff!$P84*$O84+AX84)*EXP(-('1a. Spredningsmodell input'!$B$46)*AT84)</f>
        <v>#VALUE!</v>
      </c>
      <c r="BA84" s="292" t="e">
        <f>((AY84+AZ84)*1000000000)/('1a. Spredningsmodell input'!$B$45*1000)</f>
        <v>#VALUE!</v>
      </c>
      <c r="BB84" s="294" t="e">
        <f>0.001*BA84/('1a. Spredningsmodell input'!$C$25+'1a. Spredningsmodell input'!$C$26/Mellomregninger!$K84)</f>
        <v>#VALUE!</v>
      </c>
      <c r="BC84" s="294" t="e">
        <f>1000*BB84/$K84+AZ84*1000000000/('1a. Spredningsmodell input'!$B$45*1000)</f>
        <v>#VALUE!</v>
      </c>
      <c r="BD84" s="294" t="e">
        <f t="shared" si="38"/>
        <v>#VALUE!</v>
      </c>
      <c r="BE84" s="294" t="e">
        <f>AZ84*1000000000/('1a. Spredningsmodell input'!$B$45*1000)</f>
        <v>#VALUE!</v>
      </c>
      <c r="BF84" s="295">
        <f t="shared" si="39"/>
        <v>20</v>
      </c>
      <c r="BG84" s="290" t="e">
        <f>($D84-Stoff!$P84*$D84)*EXP(-($F84+Stoff!$L84*365)*BF84)</f>
        <v>#VALUE!</v>
      </c>
      <c r="BH84" s="291" t="e">
        <f>(Stoff!$P84*$D84)*EXP(-'1a. Spredningsmodell input'!$B$43*BF84)</f>
        <v>#VALUE!</v>
      </c>
      <c r="BI84" s="290" t="e">
        <f>($D84-Stoff!$P84*$D84-BG84)*($F84/($F84+Stoff!$L84*365))</f>
        <v>#VALUE!</v>
      </c>
      <c r="BJ84" s="290" t="e">
        <f>(Stoff!$P84*$D84)-BH84</f>
        <v>#VALUE!</v>
      </c>
      <c r="BK84" s="290" t="e">
        <f>($O84+BI84)*EXP(-($N84+Stoff!$M84*365)*BF84)</f>
        <v>#VALUE!</v>
      </c>
      <c r="BL84" s="290" t="e">
        <f>(Stoff!$P84*$O84+BJ84)*EXP(-('1a. Spredningsmodell input'!$B$46)*BF84)</f>
        <v>#VALUE!</v>
      </c>
      <c r="BM84" s="292" t="e">
        <f>((BK84+BL84)*1000000000)/('1a. Spredningsmodell input'!$B$45*1000)</f>
        <v>#VALUE!</v>
      </c>
      <c r="BN84" s="294" t="e">
        <f>0.001*BM84/('1a. Spredningsmodell input'!$C$25+'1a. Spredningsmodell input'!$C$26/Mellomregninger!$K84)</f>
        <v>#VALUE!</v>
      </c>
      <c r="BO84" s="294" t="e">
        <f>1000*BN84/$K84+BL84*1000000000/('1a. Spredningsmodell input'!$B$45*1000)</f>
        <v>#VALUE!</v>
      </c>
      <c r="BP84" s="294" t="e">
        <f t="shared" si="40"/>
        <v>#VALUE!</v>
      </c>
      <c r="BQ84" s="294" t="e">
        <f>BL84*1000000000/('1a. Spredningsmodell input'!$B$45*1000)</f>
        <v>#VALUE!</v>
      </c>
      <c r="BR84" s="295">
        <f t="shared" si="41"/>
        <v>100</v>
      </c>
      <c r="BS84" s="290" t="e">
        <f>($D84-Stoff!$P84*$D84)*EXP(-($F84+Stoff!$L84*365)*BR84)</f>
        <v>#VALUE!</v>
      </c>
      <c r="BT84" s="291" t="e">
        <f>(Stoff!$P84*$D84)*EXP(-'1a. Spredningsmodell input'!$B$43*BR84)</f>
        <v>#VALUE!</v>
      </c>
      <c r="BU84" s="290" t="e">
        <f>($D84-Stoff!$P84*$D84-BS84)*($F84/($F84+Stoff!$L84*365))</f>
        <v>#VALUE!</v>
      </c>
      <c r="BV84" s="290" t="e">
        <f>(Stoff!$P84*$D84)-BT84</f>
        <v>#VALUE!</v>
      </c>
      <c r="BW84" s="290" t="e">
        <f>($O84+BU84)*EXP(-($N84+Stoff!$M84*365)*BR84)</f>
        <v>#VALUE!</v>
      </c>
      <c r="BX84" s="290" t="e">
        <f>(Stoff!$P84*$O84+BV84)*EXP(-('1a. Spredningsmodell input'!$B$46)*BR84)</f>
        <v>#VALUE!</v>
      </c>
      <c r="BY84" s="292" t="e">
        <f>((BW84+BX84)*1000000000)/('1a. Spredningsmodell input'!$B$45*1000)</f>
        <v>#VALUE!</v>
      </c>
      <c r="BZ84" s="294" t="e">
        <f>0.001*BY84/('1a. Spredningsmodell input'!$C$25+'1a. Spredningsmodell input'!$C$26/Mellomregninger!$K84)</f>
        <v>#VALUE!</v>
      </c>
      <c r="CA84" s="294" t="e">
        <f>1000*BZ84/$K84+BX84*1000000000/('1a. Spredningsmodell input'!$B$45*1000)</f>
        <v>#VALUE!</v>
      </c>
      <c r="CB84" s="294" t="e">
        <f t="shared" si="42"/>
        <v>#VALUE!</v>
      </c>
      <c r="CC84" s="294" t="e">
        <f>BX84*1000000000/('1a. Spredningsmodell input'!$B$45*1000)</f>
        <v>#VALUE!</v>
      </c>
      <c r="CD84" s="294" t="e">
        <f>V84+'1a. Spredningsmodell input'!$C$35</f>
        <v>#VALUE!</v>
      </c>
      <c r="CE84" s="294" t="e">
        <f>($S84+$Q84*($O84+$I84*($D84*(1-Stoff!$P84))*(1-EXP(-($F84+Stoff!$L84*365)*CD84)))*(1-EXP(-($N84+Stoff!$M84*365)*CD84)))</f>
        <v>#VALUE!</v>
      </c>
      <c r="CF84" s="294" t="e">
        <f t="shared" si="43"/>
        <v>#VALUE!</v>
      </c>
      <c r="CG84" s="296" t="e">
        <f>(CF84/1000000)*'1a. Spredningsmodell input'!$B$49*'1a. Spredningsmodell input'!$C$35</f>
        <v>#VALUE!</v>
      </c>
      <c r="CH84" s="294" t="e">
        <f t="shared" si="44"/>
        <v>#VALUE!</v>
      </c>
      <c r="CI84" s="290" t="e">
        <f>(CH84/1000000)*'1a. Spredningsmodell input'!$B$49*'1a. Spredningsmodell input'!$C$35</f>
        <v>#VALUE!</v>
      </c>
      <c r="CJ84" s="297" t="e">
        <f>($S84)*EXP(-(Stoff!$N84*365+$U84)*CD84)+CG84</f>
        <v>#VALUE!</v>
      </c>
      <c r="CK84" s="297" t="e">
        <f>(Stoff!$P84*$S84+CI84)*EXP(-$T84*CD84)</f>
        <v>#VALUE!</v>
      </c>
      <c r="CL84" s="297" t="e">
        <f>(CJ84+CK84)*1000000000/('1a. Spredningsmodell input'!$C$36*1000)</f>
        <v>#VALUE!</v>
      </c>
      <c r="CM84" s="297" t="e">
        <f>$G84*(1-EXP(-'1a. Spredningsmodell input'!$B$43*Mellomregninger!CD84))*(1-EXP(-'1a. Spredningsmodell input'!$B$46*Mellomregninger!CD84))</f>
        <v>#VALUE!</v>
      </c>
      <c r="CN84" s="297"/>
      <c r="CO84" s="297"/>
      <c r="CP84" s="290">
        <f>IF(ISNUMBER(AH84),AH84+'1a. Spredningsmodell input'!$C$35,'1a. Spredningsmodell input'!$C$35)</f>
        <v>1</v>
      </c>
      <c r="CQ84" s="294" t="e">
        <f>($S84+$Q84*($O84+$I84*($D84*(1-Stoff!$P84))*(1-EXP(-($F84+Stoff!$L84*365)*CP84)))*(1-EXP(-($N84+Stoff!$M84*365)*CP84)))</f>
        <v>#VALUE!</v>
      </c>
      <c r="CR84" s="294" t="e">
        <f t="shared" si="45"/>
        <v>#VALUE!</v>
      </c>
      <c r="CS84" s="296" t="e">
        <f>(CR84/1000000)*('1a. Spredningsmodell input'!$B$49*'1a. Spredningsmodell input'!$C$35)</f>
        <v>#VALUE!</v>
      </c>
      <c r="CT84" s="294" t="e">
        <f t="shared" si="46"/>
        <v>#VALUE!</v>
      </c>
      <c r="CU84" s="290" t="e">
        <f>(CT84/1000000)*('1a. Spredningsmodell input'!$B$49)*'1a. Spredningsmodell input'!$C$35</f>
        <v>#VALUE!</v>
      </c>
      <c r="CV84" s="297" t="e">
        <f>($S84)*EXP(-(Stoff!$N84*365+$U84)*CP84)+CS84</f>
        <v>#VALUE!</v>
      </c>
      <c r="CW84" s="297" t="e">
        <f>(Stoff!$P84*$S84+CU84)*EXP(-$T84*CP84)</f>
        <v>#VALUE!</v>
      </c>
      <c r="CX84" s="297">
        <f>IF(ISERROR(CV84),0,(CV84+CW84)*1000000000/('1a. Spredningsmodell input'!$C$36*1000))</f>
        <v>0</v>
      </c>
      <c r="CY84" s="297" t="e">
        <f>$G84*(1-EXP(-'1a. Spredningsmodell input'!$B$43*Mellomregninger!CP84))*(1-EXP(-'1a. Spredningsmodell input'!$B$46*Mellomregninger!CP84))</f>
        <v>#VALUE!</v>
      </c>
      <c r="CZ84" s="297"/>
      <c r="DA84" s="297"/>
      <c r="DB84" s="262">
        <f t="shared" si="47"/>
        <v>5</v>
      </c>
      <c r="DC84" s="298" t="e">
        <f>($S84+$Q84*($O84+$I84*($D84*(1-Stoff!$P84))*(1-EXP(-($F84+Stoff!$L84*365)*DB84)))*(1-EXP(-($N84+Stoff!$M84*365)*DB84)))</f>
        <v>#VALUE!</v>
      </c>
      <c r="DD84" s="294" t="e">
        <f t="shared" si="48"/>
        <v>#VALUE!</v>
      </c>
      <c r="DE84" s="296" t="e">
        <f>(DD84/1000000)*('1a. Spredningsmodell input'!$B$49)*'1a. Spredningsmodell input'!$C$35</f>
        <v>#VALUE!</v>
      </c>
      <c r="DF84" s="294" t="e">
        <f t="shared" si="49"/>
        <v>#VALUE!</v>
      </c>
      <c r="DG84" s="290" t="e">
        <f>(DF84/1000000)*('1a. Spredningsmodell input'!$B$49)*'1a. Spredningsmodell input'!$C$35</f>
        <v>#VALUE!</v>
      </c>
      <c r="DH84" s="297" t="e">
        <f>($S84)*EXP(-(Stoff!$N84*365+$U84)*DB84)+DE84</f>
        <v>#VALUE!</v>
      </c>
      <c r="DI84" s="297" t="e">
        <f>(Stoff!$P84*$S84+DG84)*EXP(-$T84*DB84)</f>
        <v>#VALUE!</v>
      </c>
      <c r="DJ84" s="297" t="e">
        <f>(DH84+DI84)*1000000000/('1a. Spredningsmodell input'!$C$36*1000)</f>
        <v>#VALUE!</v>
      </c>
      <c r="DK84" s="297" t="e">
        <f>$G84*(1-EXP(-'1a. Spredningsmodell input'!$B$43*Mellomregninger!DB84))*(1-EXP(-'1a. Spredningsmodell input'!$B$46*Mellomregninger!DB84))</f>
        <v>#VALUE!</v>
      </c>
      <c r="DL84" s="297"/>
      <c r="DM84" s="297"/>
      <c r="DN84" s="262">
        <f t="shared" si="50"/>
        <v>20</v>
      </c>
      <c r="DO84" s="298" t="e">
        <f>($S84+$Q84*($O84+$I84*($D84*(1-Stoff!$P84))*(1-EXP(-($F84+Stoff!$L84*365)*DN84)))*(1-EXP(-($N84+Stoff!$M84*365)*DN84)))</f>
        <v>#VALUE!</v>
      </c>
      <c r="DP84" s="294" t="e">
        <f t="shared" si="51"/>
        <v>#VALUE!</v>
      </c>
      <c r="DQ84" s="296" t="e">
        <f>(DP84/1000000)*('1a. Spredningsmodell input'!$B$49)*'1a. Spredningsmodell input'!$C$35</f>
        <v>#VALUE!</v>
      </c>
      <c r="DR84" s="294" t="e">
        <f t="shared" si="52"/>
        <v>#VALUE!</v>
      </c>
      <c r="DS84" s="290" t="e">
        <f>(DR84/1000000)*('1a. Spredningsmodell input'!$B$49)*'1a. Spredningsmodell input'!$C$35</f>
        <v>#VALUE!</v>
      </c>
      <c r="DT84" s="297" t="e">
        <f>($S84)*EXP(-(Stoff!$N84*365+$U84)*DN84)+DQ84</f>
        <v>#VALUE!</v>
      </c>
      <c r="DU84" s="297" t="e">
        <f>(Stoff!$P84*$S84+DS84)*EXP(-$T84*DN84)</f>
        <v>#VALUE!</v>
      </c>
      <c r="DV84" s="297" t="e">
        <f>(DT84+DU84)*1000000000/('1a. Spredningsmodell input'!$C$36*1000)</f>
        <v>#VALUE!</v>
      </c>
      <c r="DW84" s="297" t="e">
        <f>$G84*(1-EXP(-'1a. Spredningsmodell input'!$B$43*Mellomregninger!DN84))*(1-EXP(-'1a. Spredningsmodell input'!$B$46*Mellomregninger!DN84))</f>
        <v>#VALUE!</v>
      </c>
      <c r="DX84" s="297"/>
      <c r="DY84" s="297"/>
      <c r="DZ84" s="262">
        <f t="shared" si="53"/>
        <v>100</v>
      </c>
      <c r="EA84" s="298" t="e">
        <f>($S84+$Q84*($O84+$I84*($D84*(1-Stoff!$P84))*(1-EXP(-($F84+Stoff!$L84*365)*DZ84)))*(1-EXP(-($N84+Stoff!$M84*365)*DZ84)))</f>
        <v>#VALUE!</v>
      </c>
      <c r="EB84" s="294" t="e">
        <f t="shared" si="54"/>
        <v>#VALUE!</v>
      </c>
      <c r="EC84" s="296" t="e">
        <f>(EB84/1000000)*('1a. Spredningsmodell input'!$B$49)*'1a. Spredningsmodell input'!$C$35</f>
        <v>#VALUE!</v>
      </c>
      <c r="ED84" s="294" t="e">
        <f t="shared" si="55"/>
        <v>#VALUE!</v>
      </c>
      <c r="EE84" s="290" t="e">
        <f>(ED84/1000000)*('1a. Spredningsmodell input'!$B$49)*'1a. Spredningsmodell input'!$C$35</f>
        <v>#VALUE!</v>
      </c>
      <c r="EF84" s="297" t="e">
        <f>($S84)*EXP(-(Stoff!$N84*365+$U84)*DZ84)+EC84</f>
        <v>#VALUE!</v>
      </c>
      <c r="EG84" s="297" t="e">
        <f>(Stoff!$P84*$S84+EE84)*EXP(-$T84*DZ84)</f>
        <v>#VALUE!</v>
      </c>
      <c r="EH84" s="297" t="e">
        <f>(EF84+EG84)*1000000000/('1a. Spredningsmodell input'!$C$36*1000)</f>
        <v>#VALUE!</v>
      </c>
      <c r="EI84" s="297" t="e">
        <f>$G84*(1-EXP(-'1a. Spredningsmodell input'!$B$43*Mellomregninger!DZ84))*(1-EXP(-'1a. Spredningsmodell input'!$B$46*Mellomregninger!DZ84))</f>
        <v>#VALUE!</v>
      </c>
      <c r="EJ84" s="297"/>
      <c r="EK84" s="297"/>
      <c r="EL84" s="262">
        <f t="shared" si="56"/>
        <v>1.0000000000000001E+25</v>
      </c>
      <c r="EM84" s="294" t="e">
        <f>($S84+$Q84*($O84+$I84*($D84*(1-Stoff!$P84))*(1-EXP(-($F84+Stoff!$L84*365)*EL84)))*(1-EXP(-($N84+Stoff!$M84*365)*EL84)))</f>
        <v>#VALUE!</v>
      </c>
      <c r="EN84" s="296" t="e">
        <f>($S84+$Q84*($O84+$I84*($D84*(1-Stoff!$P84))*(1-EXP(-($F84+Stoff!$L84*365)*(EL84-'1a. Spredningsmodell input'!$C$35))))*(1-EXP(-($N84+Stoff!$M84*365)*(EL84-'1a. Spredningsmodell input'!$C$35))))</f>
        <v>#VALUE!</v>
      </c>
      <c r="EO84" s="294" t="e">
        <f>IF(EL84&lt;'1a. Spredningsmodell input'!$C$35,EM84-($S84)*EXP(-(Stoff!$N84*365+$U84)*EL84),EM84-EN84)</f>
        <v>#VALUE!</v>
      </c>
      <c r="EP84" s="290" t="e">
        <f>((($D84*(Stoff!$P84))*(1-EXP(-'1a. Spredningsmodell input'!$B$43*EL84)))*(1-EXP(-'1a. Spredningsmodell input'!$B$46*EL84)))</f>
        <v>#VALUE!</v>
      </c>
      <c r="EQ84" s="294" t="e">
        <f>((($D84*(Stoff!$P84))*(1-EXP(-'1a. Spredningsmodell input'!$B$43*(EL84-'1a. Spredningsmodell input'!$C$35))))*(1-EXP(-'1a. Spredningsmodell input'!$B$46*(EL84-'1a. Spredningsmodell input'!$C$35))))</f>
        <v>#VALUE!</v>
      </c>
      <c r="ER84" s="290" t="e">
        <f>IF(EL84&lt;'1a. Spredningsmodell input'!$C$35,0,EP84-EQ84)</f>
        <v>#VALUE!</v>
      </c>
      <c r="ES84" s="297" t="e">
        <f>($S84)*EXP(-(Stoff!$N84*365+$U84)*EL84)+EO84</f>
        <v>#VALUE!</v>
      </c>
      <c r="ET84" s="297" t="e">
        <f>(Stoff!$P84*$S84+ER84)*EXP(-$T84*EL84)</f>
        <v>#VALUE!</v>
      </c>
      <c r="EU84" s="297" t="e">
        <f>(ES84+ET84)*1000000000/('1a. Spredningsmodell input'!$C$36*1000)</f>
        <v>#VALUE!</v>
      </c>
      <c r="EV84" s="262" t="e">
        <f t="shared" si="57"/>
        <v>#VALUE!</v>
      </c>
      <c r="EW84" s="299" t="e">
        <f t="shared" si="58"/>
        <v>#VALUE!</v>
      </c>
      <c r="EX84" s="262" t="e">
        <f t="shared" si="59"/>
        <v>#VALUE!</v>
      </c>
    </row>
    <row r="85" spans="1:154" x14ac:dyDescent="0.35">
      <c r="A85" s="50" t="s">
        <v>124</v>
      </c>
      <c r="B85" s="34" t="str">
        <f>IF(ISNUMBER('1c. Kons. porevann'!E85),1000*'1c. Kons. porevann'!E85,IF(ISNUMBER('1b. Kons. umettet jord'!E85),1000*'1b. Kons. umettet jord'!E85/C85,""))</f>
        <v/>
      </c>
      <c r="C85" s="244">
        <f>IF(Stoff!B85="uorganisk",Stoff!C85,Stoff!D85*'1a. Spredningsmodell input'!$C$11)</f>
        <v>204.17000000000002</v>
      </c>
      <c r="D85" s="34" t="str">
        <f>IF(ISNUMBER(B85),0.000001*('1b. Kons. umettet jord'!G85*'1a. Spredningsmodell input'!$C$12+B85*0.001*'1a. Spredningsmodell input'!$C$14)*1000*'1a. Spredningsmodell input'!$B$41*'1a. Spredningsmodell input'!$C$18,"")</f>
        <v/>
      </c>
      <c r="E85" s="283">
        <f>C85*'1a. Spredningsmodell input'!$C$12/'1a. Spredningsmodell input'!$C$14+1</f>
        <v>1736.4449999999999</v>
      </c>
      <c r="F85" s="284">
        <f>'1a. Spredningsmodell input'!$B$43/E85</f>
        <v>8.6383386747060798E-4</v>
      </c>
      <c r="G85" s="34" t="e">
        <f>Stoff!P85*Mellomregninger!D85</f>
        <v>#VALUE!</v>
      </c>
      <c r="H85" s="283" t="e">
        <f>(D85-G85)*(F85/(F85+Stoff!L85))</f>
        <v>#VALUE!</v>
      </c>
      <c r="I85" s="283">
        <f>F85/(F85+Stoff!L85)</f>
        <v>1</v>
      </c>
      <c r="J85" s="285" t="str">
        <f>IF(B85="","",IF(ISNUMBER('1d. Kons. mettet sone'!E85),'1d. Kons. mettet sone'!E85,IF(ISNUMBER('1e. Kons. grunnvann'!E85),'1e. Kons. grunnvann'!E85*Mellomregninger!K85,0)))</f>
        <v/>
      </c>
      <c r="K85" s="286">
        <f>IF(Stoff!B85="uorganisk",Stoff!C85,Stoff!D85*'1a. Spredningsmodell input'!$C$24)</f>
        <v>20.417000000000002</v>
      </c>
      <c r="L85" s="27" t="e">
        <f>IF(ISNUMBER('1e. Kons. grunnvann'!E85),1000*'1e. Kons. grunnvann'!E85,1000*J85/K85)</f>
        <v>#VALUE!</v>
      </c>
      <c r="M85" s="34">
        <f>K85*'1a. Spredningsmodell input'!$C$25/'1a. Spredningsmodell input'!$C$26+1</f>
        <v>87.77225</v>
      </c>
      <c r="N85" s="284">
        <f>'1a. Spredningsmodell input'!$C$26/M85</f>
        <v>4.5572490166311107E-3</v>
      </c>
      <c r="O85" s="287" t="e">
        <f>0.000000001*(J85*'1a. Spredningsmodell input'!$C$25+L85)*1000*'1a. Spredningsmodell input'!$B$45</f>
        <v>#VALUE!</v>
      </c>
      <c r="P85" s="287" t="e">
        <f>O85*Stoff!P85</f>
        <v>#VALUE!</v>
      </c>
      <c r="Q85" s="287">
        <f>N85/(N85+Stoff!M85)</f>
        <v>1</v>
      </c>
      <c r="R85" s="288">
        <f>IF(ISNUMBER('1f. Kons. resipient'!E85),'1f. Kons. resipient'!E85,0)</f>
        <v>0</v>
      </c>
      <c r="S85" s="288">
        <f>0.000000001*'1a. Spredningsmodell input'!$C$36*R85*1000</f>
        <v>0</v>
      </c>
      <c r="T85" s="288">
        <f>1/'1a. Spredningsmodell input'!$C$35</f>
        <v>1</v>
      </c>
      <c r="U85" s="288">
        <f>1/'1a. Spredningsmodell input'!$C$35</f>
        <v>1</v>
      </c>
      <c r="V85" s="300" t="e">
        <f>(1/($N85+Stoff!$L85))*(LN(($D85*$I85/($D85*$I85+$J85))*($F85+Stoff!$L85+$N85+Stoff!$M85)/($N85+Stoff!$M85)))</f>
        <v>#VALUE!</v>
      </c>
      <c r="W85" s="290" t="e">
        <f>($D85-Stoff!$P85*$D85)*EXP(-($F85+Stoff!$L85*365)*V85)</f>
        <v>#VALUE!</v>
      </c>
      <c r="X85" s="291" t="e">
        <f>(Stoff!$P85*$D85)*EXP(-'1a. Spredningsmodell input'!$B$43*V85)</f>
        <v>#VALUE!</v>
      </c>
      <c r="Y85" s="290" t="e">
        <f>($D85-Stoff!$P85*$D85-W85)*($F85/($F85+Stoff!$L85*365))</f>
        <v>#VALUE!</v>
      </c>
      <c r="Z85" s="290" t="e">
        <f>(Stoff!$P85*$D85)-X85</f>
        <v>#VALUE!</v>
      </c>
      <c r="AA85" s="290" t="e">
        <f>($O85+Y85)*EXP(-($N85+Stoff!$M85*365)*V85)</f>
        <v>#VALUE!</v>
      </c>
      <c r="AB85" s="290" t="e">
        <f>(Stoff!$P85*$O85+Z85)*EXP(-('1a. Spredningsmodell input'!$B$46)*V85)</f>
        <v>#VALUE!</v>
      </c>
      <c r="AC85" s="292" t="e">
        <f>((AA85+AB85)*1000000000)/('1a. Spredningsmodell input'!$B$45*1000)</f>
        <v>#VALUE!</v>
      </c>
      <c r="AD85" s="294" t="e">
        <f>0.001*AC85/('1a. Spredningsmodell input'!$C$25+'1a. Spredningsmodell input'!$C$26/Mellomregninger!$K85)</f>
        <v>#VALUE!</v>
      </c>
      <c r="AE85" s="294" t="e">
        <f>1000*AD85/$K85+AB85*1000000000/('1a. Spredningsmodell input'!$B$45*1000)</f>
        <v>#VALUE!</v>
      </c>
      <c r="AF85" s="294" t="e">
        <f t="shared" si="35"/>
        <v>#VALUE!</v>
      </c>
      <c r="AG85" s="294" t="e">
        <f>AB85*1000000000/('1a. Spredningsmodell input'!$B$45*1000)</f>
        <v>#VALUE!</v>
      </c>
      <c r="AH85" s="300" t="e">
        <f>(1/('1a. Spredningsmodell input'!$B$46))*(LN(($D85*Stoff!$P85/($D85*Stoff!$P85+$P85*Stoff!$P85))*('1a. Spredningsmodell input'!$B$43+'1a. Spredningsmodell input'!$B$46)/('1a. Spredningsmodell input'!$B$46)))</f>
        <v>#VALUE!</v>
      </c>
      <c r="AI85" s="290" t="e">
        <f>($D85-Stoff!$P85*$D85)*EXP(-($F85+Stoff!$L85*365)*AH85)</f>
        <v>#VALUE!</v>
      </c>
      <c r="AJ85" s="291" t="e">
        <f>(Stoff!$P85*$D85)*EXP(-'1a. Spredningsmodell input'!$B$43*AH85)</f>
        <v>#VALUE!</v>
      </c>
      <c r="AK85" s="290" t="e">
        <f>($D85-Stoff!$P85*$D85-AI85)*($F85/($F85+Stoff!$L85*365))</f>
        <v>#VALUE!</v>
      </c>
      <c r="AL85" s="290" t="e">
        <f>(Stoff!$P85*$D85)-AJ85</f>
        <v>#VALUE!</v>
      </c>
      <c r="AM85" s="290" t="e">
        <f>($O85+AK85)*EXP(-($N85+Stoff!$M85*365)*AH85)</f>
        <v>#VALUE!</v>
      </c>
      <c r="AN85" s="290" t="e">
        <f>(Stoff!$P85*$O85+AL85)*EXP(-('1a. Spredningsmodell input'!$B$46)*AH85)</f>
        <v>#VALUE!</v>
      </c>
      <c r="AO85" s="292" t="e">
        <f>((AM85+AN85)*1000000000)/('1a. Spredningsmodell input'!$B$45*1000)</f>
        <v>#VALUE!</v>
      </c>
      <c r="AP85" s="294" t="e">
        <f>0.001*AO85/('1a. Spredningsmodell input'!$C$25+'1a. Spredningsmodell input'!$C$26/Mellomregninger!$K85)</f>
        <v>#VALUE!</v>
      </c>
      <c r="AQ85" s="294" t="e">
        <f>1000*AP85/$K85+AN85*1000000000/('1a. Spredningsmodell input'!$B$45*1000)</f>
        <v>#VALUE!</v>
      </c>
      <c r="AR85" s="294" t="e">
        <f t="shared" si="36"/>
        <v>#VALUE!</v>
      </c>
      <c r="AS85" s="294" t="e">
        <f>AN85*1000000000/('1a. Spredningsmodell input'!$B$45*1000)</f>
        <v>#VALUE!</v>
      </c>
      <c r="AT85" s="295">
        <f t="shared" si="37"/>
        <v>5</v>
      </c>
      <c r="AU85" s="290" t="e">
        <f>($D85-Stoff!$P85*$D85)*EXP(-($F85+Stoff!$L85*365)*AT85)</f>
        <v>#VALUE!</v>
      </c>
      <c r="AV85" s="291" t="e">
        <f>(Stoff!$P85*$D85)*EXP(-'1a. Spredningsmodell input'!$B$43*AT85)</f>
        <v>#VALUE!</v>
      </c>
      <c r="AW85" s="290" t="e">
        <f>($D85-Stoff!$P85*$D85-AU85)*($F85/($F85+Stoff!$L85*365))</f>
        <v>#VALUE!</v>
      </c>
      <c r="AX85" s="290" t="e">
        <f>(Stoff!$P85*$D85)-AV85</f>
        <v>#VALUE!</v>
      </c>
      <c r="AY85" s="290" t="e">
        <f>($O85+AW85)*EXP(-($N85+Stoff!$M85*365)*AT85)</f>
        <v>#VALUE!</v>
      </c>
      <c r="AZ85" s="290" t="e">
        <f>(Stoff!$P85*$O85+AX85)*EXP(-('1a. Spredningsmodell input'!$B$46)*AT85)</f>
        <v>#VALUE!</v>
      </c>
      <c r="BA85" s="292" t="e">
        <f>((AY85+AZ85)*1000000000)/('1a. Spredningsmodell input'!$B$45*1000)</f>
        <v>#VALUE!</v>
      </c>
      <c r="BB85" s="294" t="e">
        <f>0.001*BA85/('1a. Spredningsmodell input'!$C$25+'1a. Spredningsmodell input'!$C$26/Mellomregninger!$K85)</f>
        <v>#VALUE!</v>
      </c>
      <c r="BC85" s="294" t="e">
        <f>1000*BB85/$K85+AZ85*1000000000/('1a. Spredningsmodell input'!$B$45*1000)</f>
        <v>#VALUE!</v>
      </c>
      <c r="BD85" s="294" t="e">
        <f t="shared" si="38"/>
        <v>#VALUE!</v>
      </c>
      <c r="BE85" s="294" t="e">
        <f>AZ85*1000000000/('1a. Spredningsmodell input'!$B$45*1000)</f>
        <v>#VALUE!</v>
      </c>
      <c r="BF85" s="295">
        <f t="shared" si="39"/>
        <v>20</v>
      </c>
      <c r="BG85" s="290" t="e">
        <f>($D85-Stoff!$P85*$D85)*EXP(-($F85+Stoff!$L85*365)*BF85)</f>
        <v>#VALUE!</v>
      </c>
      <c r="BH85" s="291" t="e">
        <f>(Stoff!$P85*$D85)*EXP(-'1a. Spredningsmodell input'!$B$43*BF85)</f>
        <v>#VALUE!</v>
      </c>
      <c r="BI85" s="290" t="e">
        <f>($D85-Stoff!$P85*$D85-BG85)*($F85/($F85+Stoff!$L85*365))</f>
        <v>#VALUE!</v>
      </c>
      <c r="BJ85" s="290" t="e">
        <f>(Stoff!$P85*$D85)-BH85</f>
        <v>#VALUE!</v>
      </c>
      <c r="BK85" s="290" t="e">
        <f>($O85+BI85)*EXP(-($N85+Stoff!$M85*365)*BF85)</f>
        <v>#VALUE!</v>
      </c>
      <c r="BL85" s="290" t="e">
        <f>(Stoff!$P85*$O85+BJ85)*EXP(-('1a. Spredningsmodell input'!$B$46)*BF85)</f>
        <v>#VALUE!</v>
      </c>
      <c r="BM85" s="292" t="e">
        <f>((BK85+BL85)*1000000000)/('1a. Spredningsmodell input'!$B$45*1000)</f>
        <v>#VALUE!</v>
      </c>
      <c r="BN85" s="294" t="e">
        <f>0.001*BM85/('1a. Spredningsmodell input'!$C$25+'1a. Spredningsmodell input'!$C$26/Mellomregninger!$K85)</f>
        <v>#VALUE!</v>
      </c>
      <c r="BO85" s="294" t="e">
        <f>1000*BN85/$K85+BL85*1000000000/('1a. Spredningsmodell input'!$B$45*1000)</f>
        <v>#VALUE!</v>
      </c>
      <c r="BP85" s="294" t="e">
        <f t="shared" si="40"/>
        <v>#VALUE!</v>
      </c>
      <c r="BQ85" s="294" t="e">
        <f>BL85*1000000000/('1a. Spredningsmodell input'!$B$45*1000)</f>
        <v>#VALUE!</v>
      </c>
      <c r="BR85" s="295">
        <f t="shared" si="41"/>
        <v>100</v>
      </c>
      <c r="BS85" s="290" t="e">
        <f>($D85-Stoff!$P85*$D85)*EXP(-($F85+Stoff!$L85*365)*BR85)</f>
        <v>#VALUE!</v>
      </c>
      <c r="BT85" s="291" t="e">
        <f>(Stoff!$P85*$D85)*EXP(-'1a. Spredningsmodell input'!$B$43*BR85)</f>
        <v>#VALUE!</v>
      </c>
      <c r="BU85" s="290" t="e">
        <f>($D85-Stoff!$P85*$D85-BS85)*($F85/($F85+Stoff!$L85*365))</f>
        <v>#VALUE!</v>
      </c>
      <c r="BV85" s="290" t="e">
        <f>(Stoff!$P85*$D85)-BT85</f>
        <v>#VALUE!</v>
      </c>
      <c r="BW85" s="290" t="e">
        <f>($O85+BU85)*EXP(-($N85+Stoff!$M85*365)*BR85)</f>
        <v>#VALUE!</v>
      </c>
      <c r="BX85" s="290" t="e">
        <f>(Stoff!$P85*$O85+BV85)*EXP(-('1a. Spredningsmodell input'!$B$46)*BR85)</f>
        <v>#VALUE!</v>
      </c>
      <c r="BY85" s="292" t="e">
        <f>((BW85+BX85)*1000000000)/('1a. Spredningsmodell input'!$B$45*1000)</f>
        <v>#VALUE!</v>
      </c>
      <c r="BZ85" s="294" t="e">
        <f>0.001*BY85/('1a. Spredningsmodell input'!$C$25+'1a. Spredningsmodell input'!$C$26/Mellomregninger!$K85)</f>
        <v>#VALUE!</v>
      </c>
      <c r="CA85" s="294" t="e">
        <f>1000*BZ85/$K85+BX85*1000000000/('1a. Spredningsmodell input'!$B$45*1000)</f>
        <v>#VALUE!</v>
      </c>
      <c r="CB85" s="294" t="e">
        <f t="shared" si="42"/>
        <v>#VALUE!</v>
      </c>
      <c r="CC85" s="294" t="e">
        <f>BX85*1000000000/('1a. Spredningsmodell input'!$B$45*1000)</f>
        <v>#VALUE!</v>
      </c>
      <c r="CD85" s="294" t="e">
        <f>V85+'1a. Spredningsmodell input'!$C$35</f>
        <v>#VALUE!</v>
      </c>
      <c r="CE85" s="294" t="e">
        <f>($S85+$Q85*($O85+$I85*($D85*(1-Stoff!$P85))*(1-EXP(-($F85+Stoff!$L85*365)*CD85)))*(1-EXP(-($N85+Stoff!$M85*365)*CD85)))</f>
        <v>#VALUE!</v>
      </c>
      <c r="CF85" s="294" t="e">
        <f t="shared" si="43"/>
        <v>#VALUE!</v>
      </c>
      <c r="CG85" s="296" t="e">
        <f>(CF85/1000000)*'1a. Spredningsmodell input'!$B$49*'1a. Spredningsmodell input'!$C$35</f>
        <v>#VALUE!</v>
      </c>
      <c r="CH85" s="294" t="e">
        <f t="shared" si="44"/>
        <v>#VALUE!</v>
      </c>
      <c r="CI85" s="290" t="e">
        <f>(CH85/1000000)*'1a. Spredningsmodell input'!$B$49*'1a. Spredningsmodell input'!$C$35</f>
        <v>#VALUE!</v>
      </c>
      <c r="CJ85" s="297" t="e">
        <f>($S85)*EXP(-(Stoff!$N85*365+$U85)*CD85)+CG85</f>
        <v>#VALUE!</v>
      </c>
      <c r="CK85" s="297" t="e">
        <f>(Stoff!$P85*$S85+CI85)*EXP(-$T85*CD85)</f>
        <v>#VALUE!</v>
      </c>
      <c r="CL85" s="297" t="e">
        <f>(CJ85+CK85)*1000000000/('1a. Spredningsmodell input'!$C$36*1000)</f>
        <v>#VALUE!</v>
      </c>
      <c r="CM85" s="297" t="e">
        <f>$G85*(1-EXP(-'1a. Spredningsmodell input'!$B$43*Mellomregninger!CD85))*(1-EXP(-'1a. Spredningsmodell input'!$B$46*Mellomregninger!CD85))</f>
        <v>#VALUE!</v>
      </c>
      <c r="CN85" s="297"/>
      <c r="CO85" s="297"/>
      <c r="CP85" s="290">
        <f>IF(ISNUMBER(AH85),AH85+'1a. Spredningsmodell input'!$C$35,'1a. Spredningsmodell input'!$C$35)</f>
        <v>1</v>
      </c>
      <c r="CQ85" s="294" t="e">
        <f>($S85+$Q85*($O85+$I85*($D85*(1-Stoff!$P85))*(1-EXP(-($F85+Stoff!$L85*365)*CP85)))*(1-EXP(-($N85+Stoff!$M85*365)*CP85)))</f>
        <v>#VALUE!</v>
      </c>
      <c r="CR85" s="294" t="e">
        <f t="shared" si="45"/>
        <v>#VALUE!</v>
      </c>
      <c r="CS85" s="296" t="e">
        <f>(CR85/1000000)*('1a. Spredningsmodell input'!$B$49*'1a. Spredningsmodell input'!$C$35)</f>
        <v>#VALUE!</v>
      </c>
      <c r="CT85" s="294" t="e">
        <f t="shared" si="46"/>
        <v>#VALUE!</v>
      </c>
      <c r="CU85" s="290" t="e">
        <f>(CT85/1000000)*('1a. Spredningsmodell input'!$B$49)*'1a. Spredningsmodell input'!$C$35</f>
        <v>#VALUE!</v>
      </c>
      <c r="CV85" s="297" t="e">
        <f>($S85)*EXP(-(Stoff!$N85*365+$U85)*CP85)+CS85</f>
        <v>#VALUE!</v>
      </c>
      <c r="CW85" s="297" t="e">
        <f>(Stoff!$P85*$S85+CU85)*EXP(-$T85*CP85)</f>
        <v>#VALUE!</v>
      </c>
      <c r="CX85" s="297">
        <f>IF(ISERROR(CV85),0,(CV85+CW85)*1000000000/('1a. Spredningsmodell input'!$C$36*1000))</f>
        <v>0</v>
      </c>
      <c r="CY85" s="297" t="e">
        <f>$G85*(1-EXP(-'1a. Spredningsmodell input'!$B$43*Mellomregninger!CP85))*(1-EXP(-'1a. Spredningsmodell input'!$B$46*Mellomregninger!CP85))</f>
        <v>#VALUE!</v>
      </c>
      <c r="CZ85" s="297"/>
      <c r="DA85" s="297"/>
      <c r="DB85" s="262">
        <f t="shared" si="47"/>
        <v>5</v>
      </c>
      <c r="DC85" s="298" t="e">
        <f>($S85+$Q85*($O85+$I85*($D85*(1-Stoff!$P85))*(1-EXP(-($F85+Stoff!$L85*365)*DB85)))*(1-EXP(-($N85+Stoff!$M85*365)*DB85)))</f>
        <v>#VALUE!</v>
      </c>
      <c r="DD85" s="294" t="e">
        <f t="shared" si="48"/>
        <v>#VALUE!</v>
      </c>
      <c r="DE85" s="296" t="e">
        <f>(DD85/1000000)*('1a. Spredningsmodell input'!$B$49)*'1a. Spredningsmodell input'!$C$35</f>
        <v>#VALUE!</v>
      </c>
      <c r="DF85" s="294" t="e">
        <f t="shared" si="49"/>
        <v>#VALUE!</v>
      </c>
      <c r="DG85" s="290" t="e">
        <f>(DF85/1000000)*('1a. Spredningsmodell input'!$B$49)*'1a. Spredningsmodell input'!$C$35</f>
        <v>#VALUE!</v>
      </c>
      <c r="DH85" s="297" t="e">
        <f>($S85)*EXP(-(Stoff!$N85*365+$U85)*DB85)+DE85</f>
        <v>#VALUE!</v>
      </c>
      <c r="DI85" s="297" t="e">
        <f>(Stoff!$P85*$S85+DG85)*EXP(-$T85*DB85)</f>
        <v>#VALUE!</v>
      </c>
      <c r="DJ85" s="297" t="e">
        <f>(DH85+DI85)*1000000000/('1a. Spredningsmodell input'!$C$36*1000)</f>
        <v>#VALUE!</v>
      </c>
      <c r="DK85" s="297" t="e">
        <f>$G85*(1-EXP(-'1a. Spredningsmodell input'!$B$43*Mellomregninger!DB85))*(1-EXP(-'1a. Spredningsmodell input'!$B$46*Mellomregninger!DB85))</f>
        <v>#VALUE!</v>
      </c>
      <c r="DL85" s="297"/>
      <c r="DM85" s="297"/>
      <c r="DN85" s="262">
        <f t="shared" si="50"/>
        <v>20</v>
      </c>
      <c r="DO85" s="298" t="e">
        <f>($S85+$Q85*($O85+$I85*($D85*(1-Stoff!$P85))*(1-EXP(-($F85+Stoff!$L85*365)*DN85)))*(1-EXP(-($N85+Stoff!$M85*365)*DN85)))</f>
        <v>#VALUE!</v>
      </c>
      <c r="DP85" s="294" t="e">
        <f t="shared" si="51"/>
        <v>#VALUE!</v>
      </c>
      <c r="DQ85" s="296" t="e">
        <f>(DP85/1000000)*('1a. Spredningsmodell input'!$B$49)*'1a. Spredningsmodell input'!$C$35</f>
        <v>#VALUE!</v>
      </c>
      <c r="DR85" s="294" t="e">
        <f t="shared" si="52"/>
        <v>#VALUE!</v>
      </c>
      <c r="DS85" s="290" t="e">
        <f>(DR85/1000000)*('1a. Spredningsmodell input'!$B$49)*'1a. Spredningsmodell input'!$C$35</f>
        <v>#VALUE!</v>
      </c>
      <c r="DT85" s="297" t="e">
        <f>($S85)*EXP(-(Stoff!$N85*365+$U85)*DN85)+DQ85</f>
        <v>#VALUE!</v>
      </c>
      <c r="DU85" s="297" t="e">
        <f>(Stoff!$P85*$S85+DS85)*EXP(-$T85*DN85)</f>
        <v>#VALUE!</v>
      </c>
      <c r="DV85" s="297" t="e">
        <f>(DT85+DU85)*1000000000/('1a. Spredningsmodell input'!$C$36*1000)</f>
        <v>#VALUE!</v>
      </c>
      <c r="DW85" s="297" t="e">
        <f>$G85*(1-EXP(-'1a. Spredningsmodell input'!$B$43*Mellomregninger!DN85))*(1-EXP(-'1a. Spredningsmodell input'!$B$46*Mellomregninger!DN85))</f>
        <v>#VALUE!</v>
      </c>
      <c r="DX85" s="297"/>
      <c r="DY85" s="297"/>
      <c r="DZ85" s="262">
        <f t="shared" si="53"/>
        <v>100</v>
      </c>
      <c r="EA85" s="298" t="e">
        <f>($S85+$Q85*($O85+$I85*($D85*(1-Stoff!$P85))*(1-EXP(-($F85+Stoff!$L85*365)*DZ85)))*(1-EXP(-($N85+Stoff!$M85*365)*DZ85)))</f>
        <v>#VALUE!</v>
      </c>
      <c r="EB85" s="294" t="e">
        <f t="shared" si="54"/>
        <v>#VALUE!</v>
      </c>
      <c r="EC85" s="296" t="e">
        <f>(EB85/1000000)*('1a. Spredningsmodell input'!$B$49)*'1a. Spredningsmodell input'!$C$35</f>
        <v>#VALUE!</v>
      </c>
      <c r="ED85" s="294" t="e">
        <f t="shared" si="55"/>
        <v>#VALUE!</v>
      </c>
      <c r="EE85" s="290" t="e">
        <f>(ED85/1000000)*('1a. Spredningsmodell input'!$B$49)*'1a. Spredningsmodell input'!$C$35</f>
        <v>#VALUE!</v>
      </c>
      <c r="EF85" s="297" t="e">
        <f>($S85)*EXP(-(Stoff!$N85*365+$U85)*DZ85)+EC85</f>
        <v>#VALUE!</v>
      </c>
      <c r="EG85" s="297" t="e">
        <f>(Stoff!$P85*$S85+EE85)*EXP(-$T85*DZ85)</f>
        <v>#VALUE!</v>
      </c>
      <c r="EH85" s="297" t="e">
        <f>(EF85+EG85)*1000000000/('1a. Spredningsmodell input'!$C$36*1000)</f>
        <v>#VALUE!</v>
      </c>
      <c r="EI85" s="297" t="e">
        <f>$G85*(1-EXP(-'1a. Spredningsmodell input'!$B$43*Mellomregninger!DZ85))*(1-EXP(-'1a. Spredningsmodell input'!$B$46*Mellomregninger!DZ85))</f>
        <v>#VALUE!</v>
      </c>
      <c r="EJ85" s="297"/>
      <c r="EK85" s="297"/>
      <c r="EL85" s="262">
        <f t="shared" si="56"/>
        <v>1.0000000000000001E+25</v>
      </c>
      <c r="EM85" s="294" t="e">
        <f>($S85+$Q85*($O85+$I85*($D85*(1-Stoff!$P85))*(1-EXP(-($F85+Stoff!$L85*365)*EL85)))*(1-EXP(-($N85+Stoff!$M85*365)*EL85)))</f>
        <v>#VALUE!</v>
      </c>
      <c r="EN85" s="296" t="e">
        <f>($S85+$Q85*($O85+$I85*($D85*(1-Stoff!$P85))*(1-EXP(-($F85+Stoff!$L85*365)*(EL85-'1a. Spredningsmodell input'!$C$35))))*(1-EXP(-($N85+Stoff!$M85*365)*(EL85-'1a. Spredningsmodell input'!$C$35))))</f>
        <v>#VALUE!</v>
      </c>
      <c r="EO85" s="294" t="e">
        <f>IF(EL85&lt;'1a. Spredningsmodell input'!$C$35,EM85-($S85)*EXP(-(Stoff!$N85*365+$U85)*EL85),EM85-EN85)</f>
        <v>#VALUE!</v>
      </c>
      <c r="EP85" s="290" t="e">
        <f>((($D85*(Stoff!$P85))*(1-EXP(-'1a. Spredningsmodell input'!$B$43*EL85)))*(1-EXP(-'1a. Spredningsmodell input'!$B$46*EL85)))</f>
        <v>#VALUE!</v>
      </c>
      <c r="EQ85" s="294" t="e">
        <f>((($D85*(Stoff!$P85))*(1-EXP(-'1a. Spredningsmodell input'!$B$43*(EL85-'1a. Spredningsmodell input'!$C$35))))*(1-EXP(-'1a. Spredningsmodell input'!$B$46*(EL85-'1a. Spredningsmodell input'!$C$35))))</f>
        <v>#VALUE!</v>
      </c>
      <c r="ER85" s="290" t="e">
        <f>IF(EL85&lt;'1a. Spredningsmodell input'!$C$35,0,EP85-EQ85)</f>
        <v>#VALUE!</v>
      </c>
      <c r="ES85" s="297" t="e">
        <f>($S85)*EXP(-(Stoff!$N85*365+$U85)*EL85)+EO85</f>
        <v>#VALUE!</v>
      </c>
      <c r="ET85" s="297" t="e">
        <f>(Stoff!$P85*$S85+ER85)*EXP(-$T85*EL85)</f>
        <v>#VALUE!</v>
      </c>
      <c r="EU85" s="297" t="e">
        <f>(ES85+ET85)*1000000000/('1a. Spredningsmodell input'!$C$36*1000)</f>
        <v>#VALUE!</v>
      </c>
      <c r="EV85" s="262" t="e">
        <f t="shared" si="57"/>
        <v>#VALUE!</v>
      </c>
      <c r="EW85" s="299" t="e">
        <f t="shared" si="58"/>
        <v>#VALUE!</v>
      </c>
      <c r="EX85" s="262" t="e">
        <f t="shared" si="59"/>
        <v>#VALUE!</v>
      </c>
    </row>
    <row r="86" spans="1:154" x14ac:dyDescent="0.35">
      <c r="A86" s="50" t="s">
        <v>123</v>
      </c>
      <c r="B86" s="34" t="str">
        <f>IF(ISNUMBER('1c. Kons. porevann'!E86),1000*'1c. Kons. porevann'!E86,IF(ISNUMBER('1b. Kons. umettet jord'!E86),1000*'1b. Kons. umettet jord'!E86/C86,""))</f>
        <v/>
      </c>
      <c r="C86" s="244">
        <f>IF(Stoff!B86="uorganisk",Stoff!C86,Stoff!D86*'1a. Spredningsmodell input'!$C$11)</f>
        <v>45000</v>
      </c>
      <c r="D86" s="34" t="str">
        <f>IF(ISNUMBER(B86),0.000001*('1b. Kons. umettet jord'!G86*'1a. Spredningsmodell input'!$C$12+B86*0.001*'1a. Spredningsmodell input'!$C$14)*1000*'1a. Spredningsmodell input'!$B$41*'1a. Spredningsmodell input'!$C$18,"")</f>
        <v/>
      </c>
      <c r="E86" s="283">
        <f>C86*'1a. Spredningsmodell input'!$C$12/'1a. Spredningsmodell input'!$C$14+1</f>
        <v>382501</v>
      </c>
      <c r="F86" s="284">
        <f>'1a. Spredningsmodell input'!$B$43/E86</f>
        <v>3.9215583750107837E-6</v>
      </c>
      <c r="G86" s="34" t="e">
        <f>Stoff!P86*Mellomregninger!D86</f>
        <v>#VALUE!</v>
      </c>
      <c r="H86" s="283" t="e">
        <f>(D86-G86)*(F86/(F86+Stoff!L86))</f>
        <v>#VALUE!</v>
      </c>
      <c r="I86" s="283">
        <f>F86/(F86+Stoff!L86)</f>
        <v>1</v>
      </c>
      <c r="J86" s="285" t="str">
        <f>IF(B86="","",IF(ISNUMBER('1d. Kons. mettet sone'!E86),'1d. Kons. mettet sone'!E86,IF(ISNUMBER('1e. Kons. grunnvann'!E86),'1e. Kons. grunnvann'!E86*Mellomregninger!K86,0)))</f>
        <v/>
      </c>
      <c r="K86" s="286">
        <f>IF(Stoff!B86="uorganisk",Stoff!C86,Stoff!D86*'1a. Spredningsmodell input'!$C$24)</f>
        <v>4500</v>
      </c>
      <c r="L86" s="27" t="e">
        <f>IF(ISNUMBER('1e. Kons. grunnvann'!E86),1000*'1e. Kons. grunnvann'!E86,1000*J86/K86)</f>
        <v>#VALUE!</v>
      </c>
      <c r="M86" s="34">
        <f>K86*'1a. Spredningsmodell input'!$C$25/'1a. Spredningsmodell input'!$C$26+1</f>
        <v>19126</v>
      </c>
      <c r="N86" s="284">
        <f>'1a. Spredningsmodell input'!$C$26/M86</f>
        <v>2.0913939140437104E-5</v>
      </c>
      <c r="O86" s="287" t="e">
        <f>0.000000001*(J86*'1a. Spredningsmodell input'!$C$25+L86)*1000*'1a. Spredningsmodell input'!$B$45</f>
        <v>#VALUE!</v>
      </c>
      <c r="P86" s="287" t="e">
        <f>O86*Stoff!P86</f>
        <v>#VALUE!</v>
      </c>
      <c r="Q86" s="287">
        <f>N86/(N86+Stoff!M86)</f>
        <v>1</v>
      </c>
      <c r="R86" s="288">
        <f>IF(ISNUMBER('1f. Kons. resipient'!E86),'1f. Kons. resipient'!E86,0)</f>
        <v>0</v>
      </c>
      <c r="S86" s="288">
        <f>0.000000001*'1a. Spredningsmodell input'!$C$36*R86*1000</f>
        <v>0</v>
      </c>
      <c r="T86" s="288">
        <f>1/'1a. Spredningsmodell input'!$C$35</f>
        <v>1</v>
      </c>
      <c r="U86" s="288">
        <f>1/'1a. Spredningsmodell input'!$C$35</f>
        <v>1</v>
      </c>
      <c r="V86" s="300" t="e">
        <f>(1/($N86+Stoff!$L86))*(LN(($D86*$I86/($D86*$I86+$J86))*($F86+Stoff!$L86+$N86+Stoff!$M86)/($N86+Stoff!$M86)))</f>
        <v>#VALUE!</v>
      </c>
      <c r="W86" s="290" t="e">
        <f>($D86-Stoff!$P86*$D86)*EXP(-($F86+Stoff!$L86*365)*V86)</f>
        <v>#VALUE!</v>
      </c>
      <c r="X86" s="291" t="e">
        <f>(Stoff!$P86*$D86)*EXP(-'1a. Spredningsmodell input'!$B$43*V86)</f>
        <v>#VALUE!</v>
      </c>
      <c r="Y86" s="290" t="e">
        <f>($D86-Stoff!$P86*$D86-W86)*($F86/($F86+Stoff!$L86*365))</f>
        <v>#VALUE!</v>
      </c>
      <c r="Z86" s="290" t="e">
        <f>(Stoff!$P86*$D86)-X86</f>
        <v>#VALUE!</v>
      </c>
      <c r="AA86" s="290" t="e">
        <f>($O86+Y86)*EXP(-($N86+Stoff!$M86*365)*V86)</f>
        <v>#VALUE!</v>
      </c>
      <c r="AB86" s="290" t="e">
        <f>(Stoff!$P86*$O86+Z86)*EXP(-('1a. Spredningsmodell input'!$B$46)*V86)</f>
        <v>#VALUE!</v>
      </c>
      <c r="AC86" s="292" t="e">
        <f>((AA86+AB86)*1000000000)/('1a. Spredningsmodell input'!$B$45*1000)</f>
        <v>#VALUE!</v>
      </c>
      <c r="AD86" s="294" t="e">
        <f>0.001*AC86/('1a. Spredningsmodell input'!$C$25+'1a. Spredningsmodell input'!$C$26/Mellomregninger!$K86)</f>
        <v>#VALUE!</v>
      </c>
      <c r="AE86" s="294" t="e">
        <f>1000*AD86/$K86+AB86*1000000000/('1a. Spredningsmodell input'!$B$45*1000)</f>
        <v>#VALUE!</v>
      </c>
      <c r="AF86" s="294" t="e">
        <f t="shared" si="35"/>
        <v>#VALUE!</v>
      </c>
      <c r="AG86" s="294" t="e">
        <f>AB86*1000000000/('1a. Spredningsmodell input'!$B$45*1000)</f>
        <v>#VALUE!</v>
      </c>
      <c r="AH86" s="300" t="e">
        <f>(1/('1a. Spredningsmodell input'!$B$46))*(LN(($D86*Stoff!$P86/($D86*Stoff!$P86+$P86*Stoff!$P86))*('1a. Spredningsmodell input'!$B$43+'1a. Spredningsmodell input'!$B$46)/('1a. Spredningsmodell input'!$B$46)))</f>
        <v>#VALUE!</v>
      </c>
      <c r="AI86" s="290" t="e">
        <f>($D86-Stoff!$P86*$D86)*EXP(-($F86+Stoff!$L86*365)*AH86)</f>
        <v>#VALUE!</v>
      </c>
      <c r="AJ86" s="291" t="e">
        <f>(Stoff!$P86*$D86)*EXP(-'1a. Spredningsmodell input'!$B$43*AH86)</f>
        <v>#VALUE!</v>
      </c>
      <c r="AK86" s="290" t="e">
        <f>($D86-Stoff!$P86*$D86-AI86)*($F86/($F86+Stoff!$L86*365))</f>
        <v>#VALUE!</v>
      </c>
      <c r="AL86" s="290" t="e">
        <f>(Stoff!$P86*$D86)-AJ86</f>
        <v>#VALUE!</v>
      </c>
      <c r="AM86" s="290" t="e">
        <f>($O86+AK86)*EXP(-($N86+Stoff!$M86*365)*AH86)</f>
        <v>#VALUE!</v>
      </c>
      <c r="AN86" s="290" t="e">
        <f>(Stoff!$P86*$O86+AL86)*EXP(-('1a. Spredningsmodell input'!$B$46)*AH86)</f>
        <v>#VALUE!</v>
      </c>
      <c r="AO86" s="292" t="e">
        <f>((AM86+AN86)*1000000000)/('1a. Spredningsmodell input'!$B$45*1000)</f>
        <v>#VALUE!</v>
      </c>
      <c r="AP86" s="294" t="e">
        <f>0.001*AO86/('1a. Spredningsmodell input'!$C$25+'1a. Spredningsmodell input'!$C$26/Mellomregninger!$K86)</f>
        <v>#VALUE!</v>
      </c>
      <c r="AQ86" s="294" t="e">
        <f>1000*AP86/$K86+AN86*1000000000/('1a. Spredningsmodell input'!$B$45*1000)</f>
        <v>#VALUE!</v>
      </c>
      <c r="AR86" s="294" t="e">
        <f t="shared" si="36"/>
        <v>#VALUE!</v>
      </c>
      <c r="AS86" s="294" t="e">
        <f>AN86*1000000000/('1a. Spredningsmodell input'!$B$45*1000)</f>
        <v>#VALUE!</v>
      </c>
      <c r="AT86" s="295">
        <f t="shared" si="37"/>
        <v>5</v>
      </c>
      <c r="AU86" s="290" t="e">
        <f>($D86-Stoff!$P86*$D86)*EXP(-($F86+Stoff!$L86*365)*AT86)</f>
        <v>#VALUE!</v>
      </c>
      <c r="AV86" s="291" t="e">
        <f>(Stoff!$P86*$D86)*EXP(-'1a. Spredningsmodell input'!$B$43*AT86)</f>
        <v>#VALUE!</v>
      </c>
      <c r="AW86" s="290" t="e">
        <f>($D86-Stoff!$P86*$D86-AU86)*($F86/($F86+Stoff!$L86*365))</f>
        <v>#VALUE!</v>
      </c>
      <c r="AX86" s="290" t="e">
        <f>(Stoff!$P86*$D86)-AV86</f>
        <v>#VALUE!</v>
      </c>
      <c r="AY86" s="290" t="e">
        <f>($O86+AW86)*EXP(-($N86+Stoff!$M86*365)*AT86)</f>
        <v>#VALUE!</v>
      </c>
      <c r="AZ86" s="290" t="e">
        <f>(Stoff!$P86*$O86+AX86)*EXP(-('1a. Spredningsmodell input'!$B$46)*AT86)</f>
        <v>#VALUE!</v>
      </c>
      <c r="BA86" s="292" t="e">
        <f>((AY86+AZ86)*1000000000)/('1a. Spredningsmodell input'!$B$45*1000)</f>
        <v>#VALUE!</v>
      </c>
      <c r="BB86" s="294" t="e">
        <f>0.001*BA86/('1a. Spredningsmodell input'!$C$25+'1a. Spredningsmodell input'!$C$26/Mellomregninger!$K86)</f>
        <v>#VALUE!</v>
      </c>
      <c r="BC86" s="294" t="e">
        <f>1000*BB86/$K86+AZ86*1000000000/('1a. Spredningsmodell input'!$B$45*1000)</f>
        <v>#VALUE!</v>
      </c>
      <c r="BD86" s="294" t="e">
        <f t="shared" si="38"/>
        <v>#VALUE!</v>
      </c>
      <c r="BE86" s="294" t="e">
        <f>AZ86*1000000000/('1a. Spredningsmodell input'!$B$45*1000)</f>
        <v>#VALUE!</v>
      </c>
      <c r="BF86" s="295">
        <f t="shared" si="39"/>
        <v>20</v>
      </c>
      <c r="BG86" s="290" t="e">
        <f>($D86-Stoff!$P86*$D86)*EXP(-($F86+Stoff!$L86*365)*BF86)</f>
        <v>#VALUE!</v>
      </c>
      <c r="BH86" s="291" t="e">
        <f>(Stoff!$P86*$D86)*EXP(-'1a. Spredningsmodell input'!$B$43*BF86)</f>
        <v>#VALUE!</v>
      </c>
      <c r="BI86" s="290" t="e">
        <f>($D86-Stoff!$P86*$D86-BG86)*($F86/($F86+Stoff!$L86*365))</f>
        <v>#VALUE!</v>
      </c>
      <c r="BJ86" s="290" t="e">
        <f>(Stoff!$P86*$D86)-BH86</f>
        <v>#VALUE!</v>
      </c>
      <c r="BK86" s="290" t="e">
        <f>($O86+BI86)*EXP(-($N86+Stoff!$M86*365)*BF86)</f>
        <v>#VALUE!</v>
      </c>
      <c r="BL86" s="290" t="e">
        <f>(Stoff!$P86*$O86+BJ86)*EXP(-('1a. Spredningsmodell input'!$B$46)*BF86)</f>
        <v>#VALUE!</v>
      </c>
      <c r="BM86" s="292" t="e">
        <f>((BK86+BL86)*1000000000)/('1a. Spredningsmodell input'!$B$45*1000)</f>
        <v>#VALUE!</v>
      </c>
      <c r="BN86" s="294" t="e">
        <f>0.001*BM86/('1a. Spredningsmodell input'!$C$25+'1a. Spredningsmodell input'!$C$26/Mellomregninger!$K86)</f>
        <v>#VALUE!</v>
      </c>
      <c r="BO86" s="294" t="e">
        <f>1000*BN86/$K86+BL86*1000000000/('1a. Spredningsmodell input'!$B$45*1000)</f>
        <v>#VALUE!</v>
      </c>
      <c r="BP86" s="294" t="e">
        <f t="shared" si="40"/>
        <v>#VALUE!</v>
      </c>
      <c r="BQ86" s="294" t="e">
        <f>BL86*1000000000/('1a. Spredningsmodell input'!$B$45*1000)</f>
        <v>#VALUE!</v>
      </c>
      <c r="BR86" s="295">
        <f t="shared" si="41"/>
        <v>100</v>
      </c>
      <c r="BS86" s="290" t="e">
        <f>($D86-Stoff!$P86*$D86)*EXP(-($F86+Stoff!$L86*365)*BR86)</f>
        <v>#VALUE!</v>
      </c>
      <c r="BT86" s="291" t="e">
        <f>(Stoff!$P86*$D86)*EXP(-'1a. Spredningsmodell input'!$B$43*BR86)</f>
        <v>#VALUE!</v>
      </c>
      <c r="BU86" s="290" t="e">
        <f>($D86-Stoff!$P86*$D86-BS86)*($F86/($F86+Stoff!$L86*365))</f>
        <v>#VALUE!</v>
      </c>
      <c r="BV86" s="290" t="e">
        <f>(Stoff!$P86*$D86)-BT86</f>
        <v>#VALUE!</v>
      </c>
      <c r="BW86" s="290" t="e">
        <f>($O86+BU86)*EXP(-($N86+Stoff!$M86*365)*BR86)</f>
        <v>#VALUE!</v>
      </c>
      <c r="BX86" s="290" t="e">
        <f>(Stoff!$P86*$O86+BV86)*EXP(-('1a. Spredningsmodell input'!$B$46)*BR86)</f>
        <v>#VALUE!</v>
      </c>
      <c r="BY86" s="292" t="e">
        <f>((BW86+BX86)*1000000000)/('1a. Spredningsmodell input'!$B$45*1000)</f>
        <v>#VALUE!</v>
      </c>
      <c r="BZ86" s="294" t="e">
        <f>0.001*BY86/('1a. Spredningsmodell input'!$C$25+'1a. Spredningsmodell input'!$C$26/Mellomregninger!$K86)</f>
        <v>#VALUE!</v>
      </c>
      <c r="CA86" s="294" t="e">
        <f>1000*BZ86/$K86+BX86*1000000000/('1a. Spredningsmodell input'!$B$45*1000)</f>
        <v>#VALUE!</v>
      </c>
      <c r="CB86" s="294" t="e">
        <f t="shared" si="42"/>
        <v>#VALUE!</v>
      </c>
      <c r="CC86" s="294" t="e">
        <f>BX86*1000000000/('1a. Spredningsmodell input'!$B$45*1000)</f>
        <v>#VALUE!</v>
      </c>
      <c r="CD86" s="294" t="e">
        <f>V86+'1a. Spredningsmodell input'!$C$35</f>
        <v>#VALUE!</v>
      </c>
      <c r="CE86" s="294" t="e">
        <f>($S86+$Q86*($O86+$I86*($D86*(1-Stoff!$P86))*(1-EXP(-($F86+Stoff!$L86*365)*CD86)))*(1-EXP(-($N86+Stoff!$M86*365)*CD86)))</f>
        <v>#VALUE!</v>
      </c>
      <c r="CF86" s="294" t="e">
        <f t="shared" si="43"/>
        <v>#VALUE!</v>
      </c>
      <c r="CG86" s="296" t="e">
        <f>(CF86/1000000)*'1a. Spredningsmodell input'!$B$49*'1a. Spredningsmodell input'!$C$35</f>
        <v>#VALUE!</v>
      </c>
      <c r="CH86" s="294" t="e">
        <f t="shared" si="44"/>
        <v>#VALUE!</v>
      </c>
      <c r="CI86" s="290" t="e">
        <f>(CH86/1000000)*'1a. Spredningsmodell input'!$B$49*'1a. Spredningsmodell input'!$C$35</f>
        <v>#VALUE!</v>
      </c>
      <c r="CJ86" s="297" t="e">
        <f>($S86)*EXP(-(Stoff!$N86*365+$U86)*CD86)+CG86</f>
        <v>#VALUE!</v>
      </c>
      <c r="CK86" s="297" t="e">
        <f>(Stoff!$P86*$S86+CI86)*EXP(-$T86*CD86)</f>
        <v>#VALUE!</v>
      </c>
      <c r="CL86" s="297" t="e">
        <f>(CJ86+CK86)*1000000000/('1a. Spredningsmodell input'!$C$36*1000)</f>
        <v>#VALUE!</v>
      </c>
      <c r="CM86" s="297" t="e">
        <f>$G86*(1-EXP(-'1a. Spredningsmodell input'!$B$43*Mellomregninger!CD86))*(1-EXP(-'1a. Spredningsmodell input'!$B$46*Mellomregninger!CD86))</f>
        <v>#VALUE!</v>
      </c>
      <c r="CN86" s="297"/>
      <c r="CO86" s="297"/>
      <c r="CP86" s="290">
        <f>IF(ISNUMBER(AH86),AH86+'1a. Spredningsmodell input'!$C$35,'1a. Spredningsmodell input'!$C$35)</f>
        <v>1</v>
      </c>
      <c r="CQ86" s="294" t="e">
        <f>($S86+$Q86*($O86+$I86*($D86*(1-Stoff!$P86))*(1-EXP(-($F86+Stoff!$L86*365)*CP86)))*(1-EXP(-($N86+Stoff!$M86*365)*CP86)))</f>
        <v>#VALUE!</v>
      </c>
      <c r="CR86" s="294" t="e">
        <f t="shared" si="45"/>
        <v>#VALUE!</v>
      </c>
      <c r="CS86" s="296" t="e">
        <f>(CR86/1000000)*('1a. Spredningsmodell input'!$B$49*'1a. Spredningsmodell input'!$C$35)</f>
        <v>#VALUE!</v>
      </c>
      <c r="CT86" s="294" t="e">
        <f t="shared" si="46"/>
        <v>#VALUE!</v>
      </c>
      <c r="CU86" s="290" t="e">
        <f>(CT86/1000000)*('1a. Spredningsmodell input'!$B$49)*'1a. Spredningsmodell input'!$C$35</f>
        <v>#VALUE!</v>
      </c>
      <c r="CV86" s="297" t="e">
        <f>($S86)*EXP(-(Stoff!$N86*365+$U86)*CP86)+CS86</f>
        <v>#VALUE!</v>
      </c>
      <c r="CW86" s="297" t="e">
        <f>(Stoff!$P86*$S86+CU86)*EXP(-$T86*CP86)</f>
        <v>#VALUE!</v>
      </c>
      <c r="CX86" s="297">
        <f>IF(ISERROR(CV86),0,(CV86+CW86)*1000000000/('1a. Spredningsmodell input'!$C$36*1000))</f>
        <v>0</v>
      </c>
      <c r="CY86" s="297" t="e">
        <f>$G86*(1-EXP(-'1a. Spredningsmodell input'!$B$43*Mellomregninger!CP86))*(1-EXP(-'1a. Spredningsmodell input'!$B$46*Mellomregninger!CP86))</f>
        <v>#VALUE!</v>
      </c>
      <c r="CZ86" s="297"/>
      <c r="DA86" s="297"/>
      <c r="DB86" s="262">
        <f t="shared" si="47"/>
        <v>5</v>
      </c>
      <c r="DC86" s="298" t="e">
        <f>($S86+$Q86*($O86+$I86*($D86*(1-Stoff!$P86))*(1-EXP(-($F86+Stoff!$L86*365)*DB86)))*(1-EXP(-($N86+Stoff!$M86*365)*DB86)))</f>
        <v>#VALUE!</v>
      </c>
      <c r="DD86" s="294" t="e">
        <f t="shared" si="48"/>
        <v>#VALUE!</v>
      </c>
      <c r="DE86" s="296" t="e">
        <f>(DD86/1000000)*('1a. Spredningsmodell input'!$B$49)*'1a. Spredningsmodell input'!$C$35</f>
        <v>#VALUE!</v>
      </c>
      <c r="DF86" s="294" t="e">
        <f t="shared" si="49"/>
        <v>#VALUE!</v>
      </c>
      <c r="DG86" s="290" t="e">
        <f>(DF86/1000000)*('1a. Spredningsmodell input'!$B$49)*'1a. Spredningsmodell input'!$C$35</f>
        <v>#VALUE!</v>
      </c>
      <c r="DH86" s="297" t="e">
        <f>($S86)*EXP(-(Stoff!$N86*365+$U86)*DB86)+DE86</f>
        <v>#VALUE!</v>
      </c>
      <c r="DI86" s="297" t="e">
        <f>(Stoff!$P86*$S86+DG86)*EXP(-$T86*DB86)</f>
        <v>#VALUE!</v>
      </c>
      <c r="DJ86" s="297" t="e">
        <f>(DH86+DI86)*1000000000/('1a. Spredningsmodell input'!$C$36*1000)</f>
        <v>#VALUE!</v>
      </c>
      <c r="DK86" s="297" t="e">
        <f>$G86*(1-EXP(-'1a. Spredningsmodell input'!$B$43*Mellomregninger!DB86))*(1-EXP(-'1a. Spredningsmodell input'!$B$46*Mellomregninger!DB86))</f>
        <v>#VALUE!</v>
      </c>
      <c r="DL86" s="297"/>
      <c r="DM86" s="297"/>
      <c r="DN86" s="262">
        <f t="shared" si="50"/>
        <v>20</v>
      </c>
      <c r="DO86" s="298" t="e">
        <f>($S86+$Q86*($O86+$I86*($D86*(1-Stoff!$P86))*(1-EXP(-($F86+Stoff!$L86*365)*DN86)))*(1-EXP(-($N86+Stoff!$M86*365)*DN86)))</f>
        <v>#VALUE!</v>
      </c>
      <c r="DP86" s="294" t="e">
        <f t="shared" si="51"/>
        <v>#VALUE!</v>
      </c>
      <c r="DQ86" s="296" t="e">
        <f>(DP86/1000000)*('1a. Spredningsmodell input'!$B$49)*'1a. Spredningsmodell input'!$C$35</f>
        <v>#VALUE!</v>
      </c>
      <c r="DR86" s="294" t="e">
        <f t="shared" si="52"/>
        <v>#VALUE!</v>
      </c>
      <c r="DS86" s="290" t="e">
        <f>(DR86/1000000)*('1a. Spredningsmodell input'!$B$49)*'1a. Spredningsmodell input'!$C$35</f>
        <v>#VALUE!</v>
      </c>
      <c r="DT86" s="297" t="e">
        <f>($S86)*EXP(-(Stoff!$N86*365+$U86)*DN86)+DQ86</f>
        <v>#VALUE!</v>
      </c>
      <c r="DU86" s="297" t="e">
        <f>(Stoff!$P86*$S86+DS86)*EXP(-$T86*DN86)</f>
        <v>#VALUE!</v>
      </c>
      <c r="DV86" s="297" t="e">
        <f>(DT86+DU86)*1000000000/('1a. Spredningsmodell input'!$C$36*1000)</f>
        <v>#VALUE!</v>
      </c>
      <c r="DW86" s="297" t="e">
        <f>$G86*(1-EXP(-'1a. Spredningsmodell input'!$B$43*Mellomregninger!DN86))*(1-EXP(-'1a. Spredningsmodell input'!$B$46*Mellomregninger!DN86))</f>
        <v>#VALUE!</v>
      </c>
      <c r="DX86" s="297"/>
      <c r="DY86" s="297"/>
      <c r="DZ86" s="262">
        <f t="shared" si="53"/>
        <v>100</v>
      </c>
      <c r="EA86" s="298" t="e">
        <f>($S86+$Q86*($O86+$I86*($D86*(1-Stoff!$P86))*(1-EXP(-($F86+Stoff!$L86*365)*DZ86)))*(1-EXP(-($N86+Stoff!$M86*365)*DZ86)))</f>
        <v>#VALUE!</v>
      </c>
      <c r="EB86" s="294" t="e">
        <f t="shared" si="54"/>
        <v>#VALUE!</v>
      </c>
      <c r="EC86" s="296" t="e">
        <f>(EB86/1000000)*('1a. Spredningsmodell input'!$B$49)*'1a. Spredningsmodell input'!$C$35</f>
        <v>#VALUE!</v>
      </c>
      <c r="ED86" s="294" t="e">
        <f t="shared" si="55"/>
        <v>#VALUE!</v>
      </c>
      <c r="EE86" s="290" t="e">
        <f>(ED86/1000000)*('1a. Spredningsmodell input'!$B$49)*'1a. Spredningsmodell input'!$C$35</f>
        <v>#VALUE!</v>
      </c>
      <c r="EF86" s="297" t="e">
        <f>($S86)*EXP(-(Stoff!$N86*365+$U86)*DZ86)+EC86</f>
        <v>#VALUE!</v>
      </c>
      <c r="EG86" s="297" t="e">
        <f>(Stoff!$P86*$S86+EE86)*EXP(-$T86*DZ86)</f>
        <v>#VALUE!</v>
      </c>
      <c r="EH86" s="297" t="e">
        <f>(EF86+EG86)*1000000000/('1a. Spredningsmodell input'!$C$36*1000)</f>
        <v>#VALUE!</v>
      </c>
      <c r="EI86" s="297" t="e">
        <f>$G86*(1-EXP(-'1a. Spredningsmodell input'!$B$43*Mellomregninger!DZ86))*(1-EXP(-'1a. Spredningsmodell input'!$B$46*Mellomregninger!DZ86))</f>
        <v>#VALUE!</v>
      </c>
      <c r="EJ86" s="297"/>
      <c r="EK86" s="297"/>
      <c r="EL86" s="262">
        <f t="shared" si="56"/>
        <v>1.0000000000000001E+25</v>
      </c>
      <c r="EM86" s="294" t="e">
        <f>($S86+$Q86*($O86+$I86*($D86*(1-Stoff!$P86))*(1-EXP(-($F86+Stoff!$L86*365)*EL86)))*(1-EXP(-($N86+Stoff!$M86*365)*EL86)))</f>
        <v>#VALUE!</v>
      </c>
      <c r="EN86" s="296" t="e">
        <f>($S86+$Q86*($O86+$I86*($D86*(1-Stoff!$P86))*(1-EXP(-($F86+Stoff!$L86*365)*(EL86-'1a. Spredningsmodell input'!$C$35))))*(1-EXP(-($N86+Stoff!$M86*365)*(EL86-'1a. Spredningsmodell input'!$C$35))))</f>
        <v>#VALUE!</v>
      </c>
      <c r="EO86" s="294" t="e">
        <f>IF(EL86&lt;'1a. Spredningsmodell input'!$C$35,EM86-($S86)*EXP(-(Stoff!$N86*365+$U86)*EL86),EM86-EN86)</f>
        <v>#VALUE!</v>
      </c>
      <c r="EP86" s="290" t="e">
        <f>((($D86*(Stoff!$P86))*(1-EXP(-'1a. Spredningsmodell input'!$B$43*EL86)))*(1-EXP(-'1a. Spredningsmodell input'!$B$46*EL86)))</f>
        <v>#VALUE!</v>
      </c>
      <c r="EQ86" s="294" t="e">
        <f>((($D86*(Stoff!$P86))*(1-EXP(-'1a. Spredningsmodell input'!$B$43*(EL86-'1a. Spredningsmodell input'!$C$35))))*(1-EXP(-'1a. Spredningsmodell input'!$B$46*(EL86-'1a. Spredningsmodell input'!$C$35))))</f>
        <v>#VALUE!</v>
      </c>
      <c r="ER86" s="290" t="e">
        <f>IF(EL86&lt;'1a. Spredningsmodell input'!$C$35,0,EP86-EQ86)</f>
        <v>#VALUE!</v>
      </c>
      <c r="ES86" s="297" t="e">
        <f>($S86)*EXP(-(Stoff!$N86*365+$U86)*EL86)+EO86</f>
        <v>#VALUE!</v>
      </c>
      <c r="ET86" s="297" t="e">
        <f>(Stoff!$P86*$S86+ER86)*EXP(-$T86*EL86)</f>
        <v>#VALUE!</v>
      </c>
      <c r="EU86" s="297" t="e">
        <f>(ES86+ET86)*1000000000/('1a. Spredningsmodell input'!$C$36*1000)</f>
        <v>#VALUE!</v>
      </c>
      <c r="EV86" s="262" t="e">
        <f t="shared" si="57"/>
        <v>#VALUE!</v>
      </c>
      <c r="EW86" s="299" t="e">
        <f t="shared" si="58"/>
        <v>#VALUE!</v>
      </c>
      <c r="EX86" s="262" t="e">
        <f t="shared" si="59"/>
        <v>#VALUE!</v>
      </c>
    </row>
    <row r="87" spans="1:154" x14ac:dyDescent="0.35">
      <c r="A87" s="301" t="str">
        <f>Stoff!A87</f>
        <v>nystoff 1</v>
      </c>
      <c r="B87" s="34" t="str">
        <f>IF(ISNUMBER('1c. Kons. porevann'!E87),1000*'1c. Kons. porevann'!E87,IF(ISNUMBER('1b. Kons. umettet jord'!E87),1000*'1b. Kons. umettet jord'!E87/C87,""))</f>
        <v/>
      </c>
      <c r="C87" s="244">
        <f>IF(Stoff!B87="uorganisk",Stoff!C87,Stoff!D87*'1a. Spredningsmodell input'!$C$11)</f>
        <v>0</v>
      </c>
      <c r="D87" s="34" t="str">
        <f>IF(ISNUMBER(B87),0.000001*('1b. Kons. umettet jord'!G87*'1a. Spredningsmodell input'!$C$12+B87*0.001*'1a. Spredningsmodell input'!$C$14)*1000*'1a. Spredningsmodell input'!$B$41*'1a. Spredningsmodell input'!$C$18,"")</f>
        <v/>
      </c>
      <c r="E87" s="283">
        <f>C87*'1a. Spredningsmodell input'!$C$12/'1a. Spredningsmodell input'!$C$14+1</f>
        <v>1</v>
      </c>
      <c r="F87" s="284">
        <f>'1a. Spredningsmodell input'!$B$43/E87</f>
        <v>1.4999999999999998</v>
      </c>
      <c r="G87" s="34" t="e">
        <f>Stoff!P87*Mellomregninger!D87</f>
        <v>#VALUE!</v>
      </c>
      <c r="H87" s="283" t="e">
        <f>(D87-G87)*(F87/(F87+Stoff!L87))</f>
        <v>#VALUE!</v>
      </c>
      <c r="I87" s="283">
        <f>F87/(F87+Stoff!L87)</f>
        <v>1</v>
      </c>
      <c r="J87" s="285" t="str">
        <f>IF(B87="","",IF(ISNUMBER('1d. Kons. mettet sone'!E87),'1d. Kons. mettet sone'!E87,IF(ISNUMBER('1e. Kons. grunnvann'!E87),'1e. Kons. grunnvann'!E87*Mellomregninger!K87,0)))</f>
        <v/>
      </c>
      <c r="K87" s="286">
        <f>IF(Stoff!B87="uorganisk",Stoff!C87,Stoff!D87*'1a. Spredningsmodell input'!$C$24)</f>
        <v>0</v>
      </c>
      <c r="L87" s="27" t="e">
        <f>IF(ISNUMBER('1e. Kons. grunnvann'!E87),1000*'1e. Kons. grunnvann'!E87,1000*J87/K87)</f>
        <v>#VALUE!</v>
      </c>
      <c r="M87" s="34">
        <f>K87*'1a. Spredningsmodell input'!$C$25/'1a. Spredningsmodell input'!$C$26+1</f>
        <v>1</v>
      </c>
      <c r="N87" s="284">
        <f>'1a. Spredningsmodell input'!$C$26/M87</f>
        <v>0.4</v>
      </c>
      <c r="O87" s="287" t="e">
        <f>0.000000001*(J87*'1a. Spredningsmodell input'!$C$25+L87)*1000*'1a. Spredningsmodell input'!$B$45</f>
        <v>#VALUE!</v>
      </c>
      <c r="P87" s="287" t="e">
        <f>O87*Stoff!P87</f>
        <v>#VALUE!</v>
      </c>
      <c r="Q87" s="287">
        <f>N87/(N87+Stoff!M87)</f>
        <v>1</v>
      </c>
      <c r="R87" s="288">
        <f>IF(ISNUMBER('1f. Kons. resipient'!E87),'1f. Kons. resipient'!E87,0)</f>
        <v>0</v>
      </c>
      <c r="S87" s="288">
        <f>0.000000001*'1a. Spredningsmodell input'!$C$36*R87*1000</f>
        <v>0</v>
      </c>
      <c r="T87" s="288">
        <f>1/'1a. Spredningsmodell input'!$C$35</f>
        <v>1</v>
      </c>
      <c r="U87" s="288">
        <f>1/'1a. Spredningsmodell input'!$C$35</f>
        <v>1</v>
      </c>
      <c r="V87" s="300" t="e">
        <f>(1/($N87+Stoff!$L87))*(LN(($D87*$I87/($D87*$I87+$J87))*($F87+Stoff!$L87+$N87+Stoff!$M87)/($N87+Stoff!$M87)))</f>
        <v>#VALUE!</v>
      </c>
      <c r="W87" s="290" t="e">
        <f>($D87-Stoff!$P87*$D87)*EXP(-($F87+Stoff!$L87*365)*V87)</f>
        <v>#VALUE!</v>
      </c>
      <c r="X87" s="291" t="e">
        <f>(Stoff!$P87*$D87)*EXP(-'1a. Spredningsmodell input'!$B$43*V87)</f>
        <v>#VALUE!</v>
      </c>
      <c r="Y87" s="290" t="e">
        <f>($D87-Stoff!$P87*$D87-W87)*($F87/($F87+Stoff!$L87*365))</f>
        <v>#VALUE!</v>
      </c>
      <c r="Z87" s="290" t="e">
        <f>(Stoff!$P87*$D87)-X87</f>
        <v>#VALUE!</v>
      </c>
      <c r="AA87" s="290" t="e">
        <f>($O87+Y87)*EXP(-($N87+Stoff!$M87*365)*V87)</f>
        <v>#VALUE!</v>
      </c>
      <c r="AB87" s="290" t="e">
        <f>(Stoff!$P87*$O87+Z87)*EXP(-('1a. Spredningsmodell input'!$B$46)*V87)</f>
        <v>#VALUE!</v>
      </c>
      <c r="AC87" s="292" t="e">
        <f>((AA87+AB87)*1000000000)/('1a. Spredningsmodell input'!$B$45*1000)</f>
        <v>#VALUE!</v>
      </c>
      <c r="AD87" s="294" t="e">
        <f>0.001*AC87/('1a. Spredningsmodell input'!$C$25+'1a. Spredningsmodell input'!$C$26/Mellomregninger!$K87)</f>
        <v>#VALUE!</v>
      </c>
      <c r="AE87" s="294" t="e">
        <f>1000*AD87/$K87+AB87*1000000000/('1a. Spredningsmodell input'!$B$45*1000)</f>
        <v>#VALUE!</v>
      </c>
      <c r="AF87" s="294" t="e">
        <f t="shared" si="35"/>
        <v>#VALUE!</v>
      </c>
      <c r="AG87" s="294" t="e">
        <f>AB87*1000000000/('1a. Spredningsmodell input'!$B$45*1000)</f>
        <v>#VALUE!</v>
      </c>
      <c r="AH87" s="300" t="e">
        <f>(1/('1a. Spredningsmodell input'!$B$46))*(LN(($D87*Stoff!$P87/($D87*Stoff!$P87+$P87*Stoff!$P87))*('1a. Spredningsmodell input'!$B$43+'1a. Spredningsmodell input'!$B$46)/('1a. Spredningsmodell input'!$B$46)))</f>
        <v>#VALUE!</v>
      </c>
      <c r="AI87" s="290" t="e">
        <f>($D87-Stoff!$P87*$D87)*EXP(-($F87+Stoff!$L87*365)*AH87)</f>
        <v>#VALUE!</v>
      </c>
      <c r="AJ87" s="291" t="e">
        <f>(Stoff!$P87*$D87)*EXP(-'1a. Spredningsmodell input'!$B$43*AH87)</f>
        <v>#VALUE!</v>
      </c>
      <c r="AK87" s="290" t="e">
        <f>($D87-Stoff!$P87*$D87-AI87)*($F87/($F87+Stoff!$L87*365))</f>
        <v>#VALUE!</v>
      </c>
      <c r="AL87" s="290" t="e">
        <f>(Stoff!$P87*$D87)-AJ87</f>
        <v>#VALUE!</v>
      </c>
      <c r="AM87" s="290" t="e">
        <f>($O87+AK87)*EXP(-($N87+Stoff!$M87*365)*AH87)</f>
        <v>#VALUE!</v>
      </c>
      <c r="AN87" s="290" t="e">
        <f>(Stoff!$P87*$O87+AL87)*EXP(-('1a. Spredningsmodell input'!$B$46)*AH87)</f>
        <v>#VALUE!</v>
      </c>
      <c r="AO87" s="292" t="e">
        <f>((AM87+AN87)*1000000000)/('1a. Spredningsmodell input'!$B$45*1000)</f>
        <v>#VALUE!</v>
      </c>
      <c r="AP87" s="294" t="e">
        <f>0.001*AO87/('1a. Spredningsmodell input'!$C$25+'1a. Spredningsmodell input'!$C$26/Mellomregninger!$K87)</f>
        <v>#VALUE!</v>
      </c>
      <c r="AQ87" s="294" t="e">
        <f>1000*AP87/$K87+AN87*1000000000/('1a. Spredningsmodell input'!$B$45*1000)</f>
        <v>#VALUE!</v>
      </c>
      <c r="AR87" s="294" t="e">
        <f t="shared" si="36"/>
        <v>#VALUE!</v>
      </c>
      <c r="AS87" s="294" t="e">
        <f>AN87*1000000000/('1a. Spredningsmodell input'!$B$45*1000)</f>
        <v>#VALUE!</v>
      </c>
      <c r="AT87" s="295">
        <f t="shared" si="37"/>
        <v>5</v>
      </c>
      <c r="AU87" s="290" t="e">
        <f>($D87-Stoff!$P87*$D87)*EXP(-($F87+Stoff!$L87*365)*AT87)</f>
        <v>#VALUE!</v>
      </c>
      <c r="AV87" s="291" t="e">
        <f>(Stoff!$P87*$D87)*EXP(-'1a. Spredningsmodell input'!$B$43*AT87)</f>
        <v>#VALUE!</v>
      </c>
      <c r="AW87" s="290" t="e">
        <f>($D87-Stoff!$P87*$D87-AU87)*($F87/($F87+Stoff!$L87*365))</f>
        <v>#VALUE!</v>
      </c>
      <c r="AX87" s="290" t="e">
        <f>(Stoff!$P87*$D87)-AV87</f>
        <v>#VALUE!</v>
      </c>
      <c r="AY87" s="290" t="e">
        <f>($O87+AW87)*EXP(-($N87+Stoff!$M87*365)*AT87)</f>
        <v>#VALUE!</v>
      </c>
      <c r="AZ87" s="290" t="e">
        <f>(Stoff!$P87*$O87+AX87)*EXP(-('1a. Spredningsmodell input'!$B$46)*AT87)</f>
        <v>#VALUE!</v>
      </c>
      <c r="BA87" s="292" t="e">
        <f>((AY87+AZ87)*1000000000)/('1a. Spredningsmodell input'!$B$45*1000)</f>
        <v>#VALUE!</v>
      </c>
      <c r="BB87" s="294" t="e">
        <f>0.001*BA87/('1a. Spredningsmodell input'!$C$25+'1a. Spredningsmodell input'!$C$26/Mellomregninger!$K87)</f>
        <v>#VALUE!</v>
      </c>
      <c r="BC87" s="294" t="e">
        <f>1000*BB87/$K87+AZ87*1000000000/('1a. Spredningsmodell input'!$B$45*1000)</f>
        <v>#VALUE!</v>
      </c>
      <c r="BD87" s="294" t="e">
        <f t="shared" si="38"/>
        <v>#VALUE!</v>
      </c>
      <c r="BE87" s="294" t="e">
        <f>AZ87*1000000000/('1a. Spredningsmodell input'!$B$45*1000)</f>
        <v>#VALUE!</v>
      </c>
      <c r="BF87" s="295">
        <f t="shared" si="39"/>
        <v>20</v>
      </c>
      <c r="BG87" s="290" t="e">
        <f>($D87-Stoff!$P87*$D87)*EXP(-($F87+Stoff!$L87*365)*BF87)</f>
        <v>#VALUE!</v>
      </c>
      <c r="BH87" s="291" t="e">
        <f>(Stoff!$P87*$D87)*EXP(-'1a. Spredningsmodell input'!$B$43*BF87)</f>
        <v>#VALUE!</v>
      </c>
      <c r="BI87" s="290" t="e">
        <f>($D87-Stoff!$P87*$D87-BG87)*($F87/($F87+Stoff!$L87*365))</f>
        <v>#VALUE!</v>
      </c>
      <c r="BJ87" s="290" t="e">
        <f>(Stoff!$P87*$D87)-BH87</f>
        <v>#VALUE!</v>
      </c>
      <c r="BK87" s="290" t="e">
        <f>($O87+BI87)*EXP(-($N87+Stoff!$M87*365)*BF87)</f>
        <v>#VALUE!</v>
      </c>
      <c r="BL87" s="290" t="e">
        <f>(Stoff!$P87*$O87+BJ87)*EXP(-('1a. Spredningsmodell input'!$B$46)*BF87)</f>
        <v>#VALUE!</v>
      </c>
      <c r="BM87" s="292" t="e">
        <f>((BK87+BL87)*1000000000)/('1a. Spredningsmodell input'!$B$45*1000)</f>
        <v>#VALUE!</v>
      </c>
      <c r="BN87" s="294" t="e">
        <f>0.001*BM87/('1a. Spredningsmodell input'!$C$25+'1a. Spredningsmodell input'!$C$26/Mellomregninger!$K87)</f>
        <v>#VALUE!</v>
      </c>
      <c r="BO87" s="294" t="e">
        <f>1000*BN87/$K87+BL87*1000000000/('1a. Spredningsmodell input'!$B$45*1000)</f>
        <v>#VALUE!</v>
      </c>
      <c r="BP87" s="294" t="e">
        <f t="shared" si="40"/>
        <v>#VALUE!</v>
      </c>
      <c r="BQ87" s="294" t="e">
        <f>BL87*1000000000/('1a. Spredningsmodell input'!$B$45*1000)</f>
        <v>#VALUE!</v>
      </c>
      <c r="BR87" s="295">
        <f t="shared" si="41"/>
        <v>100</v>
      </c>
      <c r="BS87" s="290" t="e">
        <f>($D87-Stoff!$P87*$D87)*EXP(-($F87+Stoff!$L87*365)*BR87)</f>
        <v>#VALUE!</v>
      </c>
      <c r="BT87" s="291" t="e">
        <f>(Stoff!$P87*$D87)*EXP(-'1a. Spredningsmodell input'!$B$43*BR87)</f>
        <v>#VALUE!</v>
      </c>
      <c r="BU87" s="290" t="e">
        <f>($D87-Stoff!$P87*$D87-BS87)*($F87/($F87+Stoff!$L87*365))</f>
        <v>#VALUE!</v>
      </c>
      <c r="BV87" s="290" t="e">
        <f>(Stoff!$P87*$D87)-BT87</f>
        <v>#VALUE!</v>
      </c>
      <c r="BW87" s="290" t="e">
        <f>($O87+BU87)*EXP(-($N87+Stoff!$M87*365)*BR87)</f>
        <v>#VALUE!</v>
      </c>
      <c r="BX87" s="290" t="e">
        <f>(Stoff!$P87*$O87+BV87)*EXP(-('1a. Spredningsmodell input'!$B$46)*BR87)</f>
        <v>#VALUE!</v>
      </c>
      <c r="BY87" s="292" t="e">
        <f>((BW87+BX87)*1000000000)/('1a. Spredningsmodell input'!$B$45*1000)</f>
        <v>#VALUE!</v>
      </c>
      <c r="BZ87" s="294" t="e">
        <f>0.001*BY87/('1a. Spredningsmodell input'!$C$25+'1a. Spredningsmodell input'!$C$26/Mellomregninger!$K87)</f>
        <v>#VALUE!</v>
      </c>
      <c r="CA87" s="294" t="e">
        <f>1000*BZ87/$K87+BX87*1000000000/('1a. Spredningsmodell input'!$B$45*1000)</f>
        <v>#VALUE!</v>
      </c>
      <c r="CB87" s="294" t="e">
        <f t="shared" si="42"/>
        <v>#VALUE!</v>
      </c>
      <c r="CC87" s="294" t="e">
        <f>BX87*1000000000/('1a. Spredningsmodell input'!$B$45*1000)</f>
        <v>#VALUE!</v>
      </c>
      <c r="CD87" s="294" t="e">
        <f>V87+'1a. Spredningsmodell input'!$C$35</f>
        <v>#VALUE!</v>
      </c>
      <c r="CE87" s="294" t="e">
        <f>($S87+$Q87*($O87+$I87*($D87*(1-Stoff!$P87))*(1-EXP(-($F87+Stoff!$L87*365)*CD87)))*(1-EXP(-($N87+Stoff!$M87*365)*CD87)))</f>
        <v>#VALUE!</v>
      </c>
      <c r="CF87" s="294" t="e">
        <f t="shared" si="43"/>
        <v>#VALUE!</v>
      </c>
      <c r="CG87" s="296" t="e">
        <f>(CF87/1000000)*'1a. Spredningsmodell input'!$B$49*'1a. Spredningsmodell input'!$C$35</f>
        <v>#VALUE!</v>
      </c>
      <c r="CH87" s="294" t="e">
        <f t="shared" si="44"/>
        <v>#VALUE!</v>
      </c>
      <c r="CI87" s="290" t="e">
        <f>(CH87/1000000)*'1a. Spredningsmodell input'!$B$49*'1a. Spredningsmodell input'!$C$35</f>
        <v>#VALUE!</v>
      </c>
      <c r="CJ87" s="297" t="e">
        <f>($S87)*EXP(-(Stoff!$N87*365+$U87)*CD87)+CG87</f>
        <v>#VALUE!</v>
      </c>
      <c r="CK87" s="297" t="e">
        <f>(Stoff!$P87*$S87+CI87)*EXP(-$T87*CD87)</f>
        <v>#VALUE!</v>
      </c>
      <c r="CL87" s="297" t="e">
        <f>(CJ87+CK87)*1000000000/('1a. Spredningsmodell input'!$C$36*1000)</f>
        <v>#VALUE!</v>
      </c>
      <c r="CM87" s="297" t="e">
        <f>$G87*(1-EXP(-'1a. Spredningsmodell input'!$B$43*Mellomregninger!CD87))*(1-EXP(-'1a. Spredningsmodell input'!$B$46*Mellomregninger!CD87))</f>
        <v>#VALUE!</v>
      </c>
      <c r="CN87" s="297"/>
      <c r="CO87" s="297"/>
      <c r="CP87" s="290">
        <f>IF(ISNUMBER(AH87),AH87+'1a. Spredningsmodell input'!$C$35,'1a. Spredningsmodell input'!$C$35)</f>
        <v>1</v>
      </c>
      <c r="CQ87" s="294" t="e">
        <f>($S87+$Q87*($O87+$I87*($D87*(1-Stoff!$P87))*(1-EXP(-($F87+Stoff!$L87*365)*CP87)))*(1-EXP(-($N87+Stoff!$M87*365)*CP87)))</f>
        <v>#VALUE!</v>
      </c>
      <c r="CR87" s="294" t="e">
        <f t="shared" si="45"/>
        <v>#VALUE!</v>
      </c>
      <c r="CS87" s="296" t="e">
        <f>(CR87/1000000)*('1a. Spredningsmodell input'!$B$49*'1a. Spredningsmodell input'!$C$35)</f>
        <v>#VALUE!</v>
      </c>
      <c r="CT87" s="294" t="e">
        <f t="shared" si="46"/>
        <v>#VALUE!</v>
      </c>
      <c r="CU87" s="290" t="e">
        <f>(CT87/1000000)*('1a. Spredningsmodell input'!$B$49)*'1a. Spredningsmodell input'!$C$35</f>
        <v>#VALUE!</v>
      </c>
      <c r="CV87" s="297" t="e">
        <f>($S87)*EXP(-(Stoff!$N87*365+$U87)*CP87)+CS87</f>
        <v>#VALUE!</v>
      </c>
      <c r="CW87" s="297" t="e">
        <f>(Stoff!$P87*$S87+CU87)*EXP(-$T87*CP87)</f>
        <v>#VALUE!</v>
      </c>
      <c r="CX87" s="297">
        <f>IF(ISERROR(CV87),0,(CV87+CW87)*1000000000/('1a. Spredningsmodell input'!$C$36*1000))</f>
        <v>0</v>
      </c>
      <c r="CY87" s="297" t="e">
        <f>$G87*(1-EXP(-'1a. Spredningsmodell input'!$B$43*Mellomregninger!CP87))*(1-EXP(-'1a. Spredningsmodell input'!$B$46*Mellomregninger!CP87))</f>
        <v>#VALUE!</v>
      </c>
      <c r="CZ87" s="297"/>
      <c r="DA87" s="297"/>
      <c r="DB87" s="262">
        <f t="shared" si="47"/>
        <v>5</v>
      </c>
      <c r="DC87" s="298" t="e">
        <f>($S87+$Q87*($O87+$I87*($D87*(1-Stoff!$P87))*(1-EXP(-($F87+Stoff!$L87*365)*DB87)))*(1-EXP(-($N87+Stoff!$M87*365)*DB87)))</f>
        <v>#VALUE!</v>
      </c>
      <c r="DD87" s="294" t="e">
        <f t="shared" si="48"/>
        <v>#VALUE!</v>
      </c>
      <c r="DE87" s="296" t="e">
        <f>(DD87/1000000)*('1a. Spredningsmodell input'!$B$49)*'1a. Spredningsmodell input'!$C$35</f>
        <v>#VALUE!</v>
      </c>
      <c r="DF87" s="294" t="e">
        <f t="shared" si="49"/>
        <v>#VALUE!</v>
      </c>
      <c r="DG87" s="290" t="e">
        <f>(DF87/1000000)*('1a. Spredningsmodell input'!$B$49)*'1a. Spredningsmodell input'!$C$35</f>
        <v>#VALUE!</v>
      </c>
      <c r="DH87" s="297" t="e">
        <f>($S87)*EXP(-(Stoff!$N87*365+$U87)*DB87)+DE87</f>
        <v>#VALUE!</v>
      </c>
      <c r="DI87" s="297" t="e">
        <f>(Stoff!$P87*$S87+DG87)*EXP(-$T87*DB87)</f>
        <v>#VALUE!</v>
      </c>
      <c r="DJ87" s="297" t="e">
        <f>(DH87+DI87)*1000000000/('1a. Spredningsmodell input'!$C$36*1000)</f>
        <v>#VALUE!</v>
      </c>
      <c r="DK87" s="297" t="e">
        <f>$G87*(1-EXP(-'1a. Spredningsmodell input'!$B$43*Mellomregninger!DB87))*(1-EXP(-'1a. Spredningsmodell input'!$B$46*Mellomregninger!DB87))</f>
        <v>#VALUE!</v>
      </c>
      <c r="DL87" s="297"/>
      <c r="DM87" s="297"/>
      <c r="DN87" s="262">
        <f t="shared" si="50"/>
        <v>20</v>
      </c>
      <c r="DO87" s="298" t="e">
        <f>($S87+$Q87*($O87+$I87*($D87*(1-Stoff!$P87))*(1-EXP(-($F87+Stoff!$L87*365)*DN87)))*(1-EXP(-($N87+Stoff!$M87*365)*DN87)))</f>
        <v>#VALUE!</v>
      </c>
      <c r="DP87" s="294" t="e">
        <f t="shared" si="51"/>
        <v>#VALUE!</v>
      </c>
      <c r="DQ87" s="296" t="e">
        <f>(DP87/1000000)*('1a. Spredningsmodell input'!$B$49)*'1a. Spredningsmodell input'!$C$35</f>
        <v>#VALUE!</v>
      </c>
      <c r="DR87" s="294" t="e">
        <f t="shared" si="52"/>
        <v>#VALUE!</v>
      </c>
      <c r="DS87" s="290" t="e">
        <f>(DR87/1000000)*('1a. Spredningsmodell input'!$B$49)*'1a. Spredningsmodell input'!$C$35</f>
        <v>#VALUE!</v>
      </c>
      <c r="DT87" s="297" t="e">
        <f>($S87)*EXP(-(Stoff!$N87*365+$U87)*DN87)+DQ87</f>
        <v>#VALUE!</v>
      </c>
      <c r="DU87" s="297" t="e">
        <f>(Stoff!$P87*$S87+DS87)*EXP(-$T87*DN87)</f>
        <v>#VALUE!</v>
      </c>
      <c r="DV87" s="297" t="e">
        <f>(DT87+DU87)*1000000000/('1a. Spredningsmodell input'!$C$36*1000)</f>
        <v>#VALUE!</v>
      </c>
      <c r="DW87" s="297" t="e">
        <f>$G87*(1-EXP(-'1a. Spredningsmodell input'!$B$43*Mellomregninger!DN87))*(1-EXP(-'1a. Spredningsmodell input'!$B$46*Mellomregninger!DN87))</f>
        <v>#VALUE!</v>
      </c>
      <c r="DX87" s="297"/>
      <c r="DY87" s="297"/>
      <c r="DZ87" s="262">
        <f t="shared" si="53"/>
        <v>100</v>
      </c>
      <c r="EA87" s="298" t="e">
        <f>($S87+$Q87*($O87+$I87*($D87*(1-Stoff!$P87))*(1-EXP(-($F87+Stoff!$L87*365)*DZ87)))*(1-EXP(-($N87+Stoff!$M87*365)*DZ87)))</f>
        <v>#VALUE!</v>
      </c>
      <c r="EB87" s="294" t="e">
        <f t="shared" si="54"/>
        <v>#VALUE!</v>
      </c>
      <c r="EC87" s="296" t="e">
        <f>(EB87/1000000)*('1a. Spredningsmodell input'!$B$49)*'1a. Spredningsmodell input'!$C$35</f>
        <v>#VALUE!</v>
      </c>
      <c r="ED87" s="294" t="e">
        <f t="shared" si="55"/>
        <v>#VALUE!</v>
      </c>
      <c r="EE87" s="290" t="e">
        <f>(ED87/1000000)*('1a. Spredningsmodell input'!$B$49)*'1a. Spredningsmodell input'!$C$35</f>
        <v>#VALUE!</v>
      </c>
      <c r="EF87" s="297" t="e">
        <f>($S87)*EXP(-(Stoff!$N87*365+$U87)*DZ87)+EC87</f>
        <v>#VALUE!</v>
      </c>
      <c r="EG87" s="297" t="e">
        <f>(Stoff!$P87*$S87+EE87)*EXP(-$T87*DZ87)</f>
        <v>#VALUE!</v>
      </c>
      <c r="EH87" s="297" t="e">
        <f>(EF87+EG87)*1000000000/('1a. Spredningsmodell input'!$C$36*1000)</f>
        <v>#VALUE!</v>
      </c>
      <c r="EI87" s="297" t="e">
        <f>$G87*(1-EXP(-'1a. Spredningsmodell input'!$B$43*Mellomregninger!DZ87))*(1-EXP(-'1a. Spredningsmodell input'!$B$46*Mellomregninger!DZ87))</f>
        <v>#VALUE!</v>
      </c>
      <c r="EJ87" s="297"/>
      <c r="EK87" s="297"/>
      <c r="EL87" s="262">
        <f t="shared" si="56"/>
        <v>1.0000000000000001E+25</v>
      </c>
      <c r="EM87" s="294" t="e">
        <f>($S87+$Q87*($O87+$I87*($D87*(1-Stoff!$P87))*(1-EXP(-($F87+Stoff!$L87*365)*EL87)))*(1-EXP(-($N87+Stoff!$M87*365)*EL87)))</f>
        <v>#VALUE!</v>
      </c>
      <c r="EN87" s="296" t="e">
        <f>($S87+$Q87*($O87+$I87*($D87*(1-Stoff!$P87))*(1-EXP(-($F87+Stoff!$L87*365)*(EL87-'1a. Spredningsmodell input'!$C$35))))*(1-EXP(-($N87+Stoff!$M87*365)*(EL87-'1a. Spredningsmodell input'!$C$35))))</f>
        <v>#VALUE!</v>
      </c>
      <c r="EO87" s="294" t="e">
        <f>IF(EL87&lt;'1a. Spredningsmodell input'!$C$35,EM87-($S87)*EXP(-(Stoff!$N87*365+$U87)*EL87),EM87-EN87)</f>
        <v>#VALUE!</v>
      </c>
      <c r="EP87" s="290" t="e">
        <f>((($D87*(Stoff!$P87))*(1-EXP(-'1a. Spredningsmodell input'!$B$43*EL87)))*(1-EXP(-'1a. Spredningsmodell input'!$B$46*EL87)))</f>
        <v>#VALUE!</v>
      </c>
      <c r="EQ87" s="294" t="e">
        <f>((($D87*(Stoff!$P87))*(1-EXP(-'1a. Spredningsmodell input'!$B$43*(EL87-'1a. Spredningsmodell input'!$C$35))))*(1-EXP(-'1a. Spredningsmodell input'!$B$46*(EL87-'1a. Spredningsmodell input'!$C$35))))</f>
        <v>#VALUE!</v>
      </c>
      <c r="ER87" s="290" t="e">
        <f>IF(EL87&lt;'1a. Spredningsmodell input'!$C$35,0,EP87-EQ87)</f>
        <v>#VALUE!</v>
      </c>
      <c r="ES87" s="297" t="e">
        <f>($S87)*EXP(-(Stoff!$N87*365+$U87)*EL87)+EO87</f>
        <v>#VALUE!</v>
      </c>
      <c r="ET87" s="297" t="e">
        <f>(Stoff!$P87*$S87+ER87)*EXP(-$T87*EL87)</f>
        <v>#VALUE!</v>
      </c>
      <c r="EU87" s="297" t="e">
        <f>(ES87+ET87)*1000000000/('1a. Spredningsmodell input'!$C$36*1000)</f>
        <v>#VALUE!</v>
      </c>
      <c r="EV87" s="262" t="e">
        <f t="shared" si="57"/>
        <v>#VALUE!</v>
      </c>
      <c r="EW87" s="299" t="e">
        <f t="shared" si="58"/>
        <v>#VALUE!</v>
      </c>
      <c r="EX87" s="262" t="e">
        <f t="shared" si="59"/>
        <v>#VALUE!</v>
      </c>
    </row>
    <row r="88" spans="1:154" x14ac:dyDescent="0.35">
      <c r="A88" s="301" t="str">
        <f>Stoff!A88</f>
        <v>nystoff 2</v>
      </c>
      <c r="B88" s="34" t="str">
        <f>IF(ISNUMBER('1c. Kons. porevann'!E88),1000*'1c. Kons. porevann'!E88,IF(ISNUMBER('1b. Kons. umettet jord'!E88),1000*'1b. Kons. umettet jord'!E88/C88,""))</f>
        <v/>
      </c>
      <c r="C88" s="244">
        <f>IF(Stoff!B88="uorganisk",Stoff!C88,Stoff!D88*'1a. Spredningsmodell input'!$C$11)</f>
        <v>0</v>
      </c>
      <c r="D88" s="34" t="str">
        <f>IF(ISNUMBER(B88),0.000001*('1b. Kons. umettet jord'!G88*'1a. Spredningsmodell input'!$C$12+B88*0.001*'1a. Spredningsmodell input'!$C$14)*1000*'1a. Spredningsmodell input'!$B$41*'1a. Spredningsmodell input'!$C$18,"")</f>
        <v/>
      </c>
      <c r="E88" s="283">
        <f>C88*'1a. Spredningsmodell input'!$C$12/'1a. Spredningsmodell input'!$C$14+1</f>
        <v>1</v>
      </c>
      <c r="F88" s="284">
        <f>'1a. Spredningsmodell input'!$B$43/E88</f>
        <v>1.4999999999999998</v>
      </c>
      <c r="G88" s="34" t="e">
        <f>Stoff!P88*Mellomregninger!D88</f>
        <v>#VALUE!</v>
      </c>
      <c r="H88" s="283" t="e">
        <f>(D88-G88)*(F88/(F88+Stoff!L88))</f>
        <v>#VALUE!</v>
      </c>
      <c r="I88" s="283">
        <f>F88/(F88+Stoff!L88)</f>
        <v>1</v>
      </c>
      <c r="J88" s="285" t="str">
        <f>IF(B88="","",IF(ISNUMBER('1d. Kons. mettet sone'!E88),'1d. Kons. mettet sone'!E88,IF(ISNUMBER('1e. Kons. grunnvann'!E88),'1e. Kons. grunnvann'!E88*Mellomregninger!K88,0)))</f>
        <v/>
      </c>
      <c r="K88" s="286">
        <f>IF(Stoff!B88="uorganisk",Stoff!C88,Stoff!D88*'1a. Spredningsmodell input'!$C$24)</f>
        <v>0</v>
      </c>
      <c r="L88" s="27" t="e">
        <f>IF(ISNUMBER('1e. Kons. grunnvann'!E88),1000*'1e. Kons. grunnvann'!E88,1000*J88/K88)</f>
        <v>#VALUE!</v>
      </c>
      <c r="M88" s="34">
        <f>K88*'1a. Spredningsmodell input'!$C$25/'1a. Spredningsmodell input'!$C$26+1</f>
        <v>1</v>
      </c>
      <c r="N88" s="284">
        <f>'1a. Spredningsmodell input'!$C$26/M88</f>
        <v>0.4</v>
      </c>
      <c r="O88" s="287" t="e">
        <f>0.000000001*(J88*'1a. Spredningsmodell input'!$C$25+L88)*1000*'1a. Spredningsmodell input'!$B$45</f>
        <v>#VALUE!</v>
      </c>
      <c r="P88" s="287" t="e">
        <f>O88*Stoff!P88</f>
        <v>#VALUE!</v>
      </c>
      <c r="Q88" s="287">
        <f>N88/(N88+Stoff!M88)</f>
        <v>1</v>
      </c>
      <c r="R88" s="288">
        <f>IF(ISNUMBER('1f. Kons. resipient'!E88),'1f. Kons. resipient'!E88,0)</f>
        <v>0</v>
      </c>
      <c r="S88" s="288">
        <f>0.000000001*'1a. Spredningsmodell input'!$C$36*R88*1000</f>
        <v>0</v>
      </c>
      <c r="T88" s="288">
        <f>1/'1a. Spredningsmodell input'!$C$35</f>
        <v>1</v>
      </c>
      <c r="U88" s="288">
        <f>1/'1a. Spredningsmodell input'!$C$35</f>
        <v>1</v>
      </c>
      <c r="V88" s="300" t="e">
        <f>(1/($N88+Stoff!$L88))*(LN(($D88*$I88/($D88*$I88+$J88))*($F88+Stoff!$L88+$N88+Stoff!$M88)/($N88+Stoff!$M88)))</f>
        <v>#VALUE!</v>
      </c>
      <c r="W88" s="290" t="e">
        <f>($D88-Stoff!$P88*$D88)*EXP(-($F88+Stoff!$L88*365)*V88)</f>
        <v>#VALUE!</v>
      </c>
      <c r="X88" s="291" t="e">
        <f>(Stoff!$P88*$D88)*EXP(-'1a. Spredningsmodell input'!$B$43*V88)</f>
        <v>#VALUE!</v>
      </c>
      <c r="Y88" s="290" t="e">
        <f>($D88-Stoff!$P88*$D88-W88)*($F88/($F88+Stoff!$L88*365))</f>
        <v>#VALUE!</v>
      </c>
      <c r="Z88" s="290" t="e">
        <f>(Stoff!$P88*$D88)-X88</f>
        <v>#VALUE!</v>
      </c>
      <c r="AA88" s="290" t="e">
        <f>($O88+Y88)*EXP(-($N88+Stoff!$M88*365)*V88)</f>
        <v>#VALUE!</v>
      </c>
      <c r="AB88" s="290" t="e">
        <f>(Stoff!$P88*$O88+Z88)*EXP(-('1a. Spredningsmodell input'!$B$46)*V88)</f>
        <v>#VALUE!</v>
      </c>
      <c r="AC88" s="292" t="e">
        <f>((AA88+AB88)*1000000000)/('1a. Spredningsmodell input'!$B$45*1000)</f>
        <v>#VALUE!</v>
      </c>
      <c r="AD88" s="294" t="e">
        <f>0.001*AC88/('1a. Spredningsmodell input'!$C$25+'1a. Spredningsmodell input'!$C$26/Mellomregninger!$K88)</f>
        <v>#VALUE!</v>
      </c>
      <c r="AE88" s="294" t="e">
        <f>1000*AD88/$K88+AB88*1000000000/('1a. Spredningsmodell input'!$B$45*1000)</f>
        <v>#VALUE!</v>
      </c>
      <c r="AF88" s="294" t="e">
        <f t="shared" si="35"/>
        <v>#VALUE!</v>
      </c>
      <c r="AG88" s="294" t="e">
        <f>AB88*1000000000/('1a. Spredningsmodell input'!$B$45*1000)</f>
        <v>#VALUE!</v>
      </c>
      <c r="AH88" s="300" t="e">
        <f>(1/('1a. Spredningsmodell input'!$B$46))*(LN(($D88*Stoff!$P88/($D88*Stoff!$P88+$P88*Stoff!$P88))*('1a. Spredningsmodell input'!$B$43+'1a. Spredningsmodell input'!$B$46)/('1a. Spredningsmodell input'!$B$46)))</f>
        <v>#VALUE!</v>
      </c>
      <c r="AI88" s="290" t="e">
        <f>($D88-Stoff!$P88*$D88)*EXP(-($F88+Stoff!$L88*365)*AH88)</f>
        <v>#VALUE!</v>
      </c>
      <c r="AJ88" s="291" t="e">
        <f>(Stoff!$P88*$D88)*EXP(-'1a. Spredningsmodell input'!$B$43*AH88)</f>
        <v>#VALUE!</v>
      </c>
      <c r="AK88" s="290" t="e">
        <f>($D88-Stoff!$P88*$D88-AI88)*($F88/($F88+Stoff!$L88*365))</f>
        <v>#VALUE!</v>
      </c>
      <c r="AL88" s="290" t="e">
        <f>(Stoff!$P88*$D88)-AJ88</f>
        <v>#VALUE!</v>
      </c>
      <c r="AM88" s="290" t="e">
        <f>($O88+AK88)*EXP(-($N88+Stoff!$M88*365)*AH88)</f>
        <v>#VALUE!</v>
      </c>
      <c r="AN88" s="290" t="e">
        <f>(Stoff!$P88*$O88+AL88)*EXP(-('1a. Spredningsmodell input'!$B$46)*AH88)</f>
        <v>#VALUE!</v>
      </c>
      <c r="AO88" s="292" t="e">
        <f>((AM88+AN88)*1000000000)/('1a. Spredningsmodell input'!$B$45*1000)</f>
        <v>#VALUE!</v>
      </c>
      <c r="AP88" s="294" t="e">
        <f>0.001*AO88/('1a. Spredningsmodell input'!$C$25+'1a. Spredningsmodell input'!$C$26/Mellomregninger!$K88)</f>
        <v>#VALUE!</v>
      </c>
      <c r="AQ88" s="294" t="e">
        <f>1000*AP88/$K88+AN88*1000000000/('1a. Spredningsmodell input'!$B$45*1000)</f>
        <v>#VALUE!</v>
      </c>
      <c r="AR88" s="294" t="e">
        <f t="shared" si="36"/>
        <v>#VALUE!</v>
      </c>
      <c r="AS88" s="294" t="e">
        <f>AN88*1000000000/('1a. Spredningsmodell input'!$B$45*1000)</f>
        <v>#VALUE!</v>
      </c>
      <c r="AT88" s="295">
        <f t="shared" si="37"/>
        <v>5</v>
      </c>
      <c r="AU88" s="290" t="e">
        <f>($D88-Stoff!$P88*$D88)*EXP(-($F88+Stoff!$L88*365)*AT88)</f>
        <v>#VALUE!</v>
      </c>
      <c r="AV88" s="291" t="e">
        <f>(Stoff!$P88*$D88)*EXP(-'1a. Spredningsmodell input'!$B$43*AT88)</f>
        <v>#VALUE!</v>
      </c>
      <c r="AW88" s="290" t="e">
        <f>($D88-Stoff!$P88*$D88-AU88)*($F88/($F88+Stoff!$L88*365))</f>
        <v>#VALUE!</v>
      </c>
      <c r="AX88" s="290" t="e">
        <f>(Stoff!$P88*$D88)-AV88</f>
        <v>#VALUE!</v>
      </c>
      <c r="AY88" s="290" t="e">
        <f>($O88+AW88)*EXP(-($N88+Stoff!$M88*365)*AT88)</f>
        <v>#VALUE!</v>
      </c>
      <c r="AZ88" s="290" t="e">
        <f>(Stoff!$P88*$O88+AX88)*EXP(-('1a. Spredningsmodell input'!$B$46)*AT88)</f>
        <v>#VALUE!</v>
      </c>
      <c r="BA88" s="292" t="e">
        <f>((AY88+AZ88)*1000000000)/('1a. Spredningsmodell input'!$B$45*1000)</f>
        <v>#VALUE!</v>
      </c>
      <c r="BB88" s="294" t="e">
        <f>0.001*BA88/('1a. Spredningsmodell input'!$C$25+'1a. Spredningsmodell input'!$C$26/Mellomregninger!$K88)</f>
        <v>#VALUE!</v>
      </c>
      <c r="BC88" s="294" t="e">
        <f>1000*BB88/$K88+AZ88*1000000000/('1a. Spredningsmodell input'!$B$45*1000)</f>
        <v>#VALUE!</v>
      </c>
      <c r="BD88" s="294" t="e">
        <f t="shared" si="38"/>
        <v>#VALUE!</v>
      </c>
      <c r="BE88" s="294" t="e">
        <f>AZ88*1000000000/('1a. Spredningsmodell input'!$B$45*1000)</f>
        <v>#VALUE!</v>
      </c>
      <c r="BF88" s="295">
        <f t="shared" si="39"/>
        <v>20</v>
      </c>
      <c r="BG88" s="290" t="e">
        <f>($D88-Stoff!$P88*$D88)*EXP(-($F88+Stoff!$L88*365)*BF88)</f>
        <v>#VALUE!</v>
      </c>
      <c r="BH88" s="291" t="e">
        <f>(Stoff!$P88*$D88)*EXP(-'1a. Spredningsmodell input'!$B$43*BF88)</f>
        <v>#VALUE!</v>
      </c>
      <c r="BI88" s="290" t="e">
        <f>($D88-Stoff!$P88*$D88-BG88)*($F88/($F88+Stoff!$L88*365))</f>
        <v>#VALUE!</v>
      </c>
      <c r="BJ88" s="290" t="e">
        <f>(Stoff!$P88*$D88)-BH88</f>
        <v>#VALUE!</v>
      </c>
      <c r="BK88" s="290" t="e">
        <f>($O88+BI88)*EXP(-($N88+Stoff!$M88*365)*BF88)</f>
        <v>#VALUE!</v>
      </c>
      <c r="BL88" s="290" t="e">
        <f>(Stoff!$P88*$O88+BJ88)*EXP(-('1a. Spredningsmodell input'!$B$46)*BF88)</f>
        <v>#VALUE!</v>
      </c>
      <c r="BM88" s="292" t="e">
        <f>((BK88+BL88)*1000000000)/('1a. Spredningsmodell input'!$B$45*1000)</f>
        <v>#VALUE!</v>
      </c>
      <c r="BN88" s="294" t="e">
        <f>0.001*BM88/('1a. Spredningsmodell input'!$C$25+'1a. Spredningsmodell input'!$C$26/Mellomregninger!$K88)</f>
        <v>#VALUE!</v>
      </c>
      <c r="BO88" s="294" t="e">
        <f>1000*BN88/$K88+BL88*1000000000/('1a. Spredningsmodell input'!$B$45*1000)</f>
        <v>#VALUE!</v>
      </c>
      <c r="BP88" s="294" t="e">
        <f t="shared" si="40"/>
        <v>#VALUE!</v>
      </c>
      <c r="BQ88" s="294" t="e">
        <f>BL88*1000000000/('1a. Spredningsmodell input'!$B$45*1000)</f>
        <v>#VALUE!</v>
      </c>
      <c r="BR88" s="295">
        <f t="shared" si="41"/>
        <v>100</v>
      </c>
      <c r="BS88" s="290" t="e">
        <f>($D88-Stoff!$P88*$D88)*EXP(-($F88+Stoff!$L88*365)*BR88)</f>
        <v>#VALUE!</v>
      </c>
      <c r="BT88" s="291" t="e">
        <f>(Stoff!$P88*$D88)*EXP(-'1a. Spredningsmodell input'!$B$43*BR88)</f>
        <v>#VALUE!</v>
      </c>
      <c r="BU88" s="290" t="e">
        <f>($D88-Stoff!$P88*$D88-BS88)*($F88/($F88+Stoff!$L88*365))</f>
        <v>#VALUE!</v>
      </c>
      <c r="BV88" s="290" t="e">
        <f>(Stoff!$P88*$D88)-BT88</f>
        <v>#VALUE!</v>
      </c>
      <c r="BW88" s="290" t="e">
        <f>($O88+BU88)*EXP(-($N88+Stoff!$M88*365)*BR88)</f>
        <v>#VALUE!</v>
      </c>
      <c r="BX88" s="290" t="e">
        <f>(Stoff!$P88*$O88+BV88)*EXP(-('1a. Spredningsmodell input'!$B$46)*BR88)</f>
        <v>#VALUE!</v>
      </c>
      <c r="BY88" s="292" t="e">
        <f>((BW88+BX88)*1000000000)/('1a. Spredningsmodell input'!$B$45*1000)</f>
        <v>#VALUE!</v>
      </c>
      <c r="BZ88" s="294" t="e">
        <f>0.001*BY88/('1a. Spredningsmodell input'!$C$25+'1a. Spredningsmodell input'!$C$26/Mellomregninger!$K88)</f>
        <v>#VALUE!</v>
      </c>
      <c r="CA88" s="294" t="e">
        <f>1000*BZ88/$K88+BX88*1000000000/('1a. Spredningsmodell input'!$B$45*1000)</f>
        <v>#VALUE!</v>
      </c>
      <c r="CB88" s="294" t="e">
        <f t="shared" si="42"/>
        <v>#VALUE!</v>
      </c>
      <c r="CC88" s="294" t="e">
        <f>BX88*1000000000/('1a. Spredningsmodell input'!$B$45*1000)</f>
        <v>#VALUE!</v>
      </c>
      <c r="CD88" s="294" t="e">
        <f>V88+'1a. Spredningsmodell input'!$C$35</f>
        <v>#VALUE!</v>
      </c>
      <c r="CE88" s="294" t="e">
        <f>($S88+$Q88*($O88+$I88*($D88*(1-Stoff!$P88))*(1-EXP(-($F88+Stoff!$L88*365)*CD88)))*(1-EXP(-($N88+Stoff!$M88*365)*CD88)))</f>
        <v>#VALUE!</v>
      </c>
      <c r="CF88" s="294" t="e">
        <f t="shared" si="43"/>
        <v>#VALUE!</v>
      </c>
      <c r="CG88" s="296" t="e">
        <f>(CF88/1000000)*'1a. Spredningsmodell input'!$B$49*'1a. Spredningsmodell input'!$C$35</f>
        <v>#VALUE!</v>
      </c>
      <c r="CH88" s="294" t="e">
        <f t="shared" si="44"/>
        <v>#VALUE!</v>
      </c>
      <c r="CI88" s="290" t="e">
        <f>(CH88/1000000)*'1a. Spredningsmodell input'!$B$49*'1a. Spredningsmodell input'!$C$35</f>
        <v>#VALUE!</v>
      </c>
      <c r="CJ88" s="297" t="e">
        <f>($S88)*EXP(-(Stoff!$N88*365+$U88)*CD88)+CG88</f>
        <v>#VALUE!</v>
      </c>
      <c r="CK88" s="297" t="e">
        <f>(Stoff!$P88*$S88+CI88)*EXP(-$T88*CD88)</f>
        <v>#VALUE!</v>
      </c>
      <c r="CL88" s="297" t="e">
        <f>(CJ88+CK88)*1000000000/('1a. Spredningsmodell input'!$C$36*1000)</f>
        <v>#VALUE!</v>
      </c>
      <c r="CM88" s="297" t="e">
        <f>$G88*(1-EXP(-'1a. Spredningsmodell input'!$B$43*Mellomregninger!CD88))*(1-EXP(-'1a. Spredningsmodell input'!$B$46*Mellomregninger!CD88))</f>
        <v>#VALUE!</v>
      </c>
      <c r="CN88" s="297"/>
      <c r="CO88" s="297"/>
      <c r="CP88" s="290">
        <f>IF(ISNUMBER(AH88),AH88+'1a. Spredningsmodell input'!$C$35,'1a. Spredningsmodell input'!$C$35)</f>
        <v>1</v>
      </c>
      <c r="CQ88" s="294" t="e">
        <f>($S88+$Q88*($O88+$I88*($D88*(1-Stoff!$P88))*(1-EXP(-($F88+Stoff!$L88*365)*CP88)))*(1-EXP(-($N88+Stoff!$M88*365)*CP88)))</f>
        <v>#VALUE!</v>
      </c>
      <c r="CR88" s="294" t="e">
        <f t="shared" si="45"/>
        <v>#VALUE!</v>
      </c>
      <c r="CS88" s="296" t="e">
        <f>(CR88/1000000)*('1a. Spredningsmodell input'!$B$49*'1a. Spredningsmodell input'!$C$35)</f>
        <v>#VALUE!</v>
      </c>
      <c r="CT88" s="294" t="e">
        <f t="shared" si="46"/>
        <v>#VALUE!</v>
      </c>
      <c r="CU88" s="290" t="e">
        <f>(CT88/1000000)*('1a. Spredningsmodell input'!$B$49)*'1a. Spredningsmodell input'!$C$35</f>
        <v>#VALUE!</v>
      </c>
      <c r="CV88" s="297" t="e">
        <f>($S88)*EXP(-(Stoff!$N88*365+$U88)*CP88)+CS88</f>
        <v>#VALUE!</v>
      </c>
      <c r="CW88" s="297" t="e">
        <f>(Stoff!$P88*$S88+CU88)*EXP(-$T88*CP88)</f>
        <v>#VALUE!</v>
      </c>
      <c r="CX88" s="297">
        <f>IF(ISERROR(CV88),0,(CV88+CW88)*1000000000/('1a. Spredningsmodell input'!$C$36*1000))</f>
        <v>0</v>
      </c>
      <c r="CY88" s="297" t="e">
        <f>$G88*(1-EXP(-'1a. Spredningsmodell input'!$B$43*Mellomregninger!CP88))*(1-EXP(-'1a. Spredningsmodell input'!$B$46*Mellomregninger!CP88))</f>
        <v>#VALUE!</v>
      </c>
      <c r="CZ88" s="297"/>
      <c r="DA88" s="297"/>
      <c r="DB88" s="262">
        <f t="shared" si="47"/>
        <v>5</v>
      </c>
      <c r="DC88" s="298" t="e">
        <f>($S88+$Q88*($O88+$I88*($D88*(1-Stoff!$P88))*(1-EXP(-($F88+Stoff!$L88*365)*DB88)))*(1-EXP(-($N88+Stoff!$M88*365)*DB88)))</f>
        <v>#VALUE!</v>
      </c>
      <c r="DD88" s="294" t="e">
        <f t="shared" si="48"/>
        <v>#VALUE!</v>
      </c>
      <c r="DE88" s="296" t="e">
        <f>(DD88/1000000)*('1a. Spredningsmodell input'!$B$49)*'1a. Spredningsmodell input'!$C$35</f>
        <v>#VALUE!</v>
      </c>
      <c r="DF88" s="294" t="e">
        <f t="shared" si="49"/>
        <v>#VALUE!</v>
      </c>
      <c r="DG88" s="290" t="e">
        <f>(DF88/1000000)*('1a. Spredningsmodell input'!$B$49)*'1a. Spredningsmodell input'!$C$35</f>
        <v>#VALUE!</v>
      </c>
      <c r="DH88" s="297" t="e">
        <f>($S88)*EXP(-(Stoff!$N88*365+$U88)*DB88)+DE88</f>
        <v>#VALUE!</v>
      </c>
      <c r="DI88" s="297" t="e">
        <f>(Stoff!$P88*$S88+DG88)*EXP(-$T88*DB88)</f>
        <v>#VALUE!</v>
      </c>
      <c r="DJ88" s="297" t="e">
        <f>(DH88+DI88)*1000000000/('1a. Spredningsmodell input'!$C$36*1000)</f>
        <v>#VALUE!</v>
      </c>
      <c r="DK88" s="297" t="e">
        <f>$G88*(1-EXP(-'1a. Spredningsmodell input'!$B$43*Mellomregninger!DB88))*(1-EXP(-'1a. Spredningsmodell input'!$B$46*Mellomregninger!DB88))</f>
        <v>#VALUE!</v>
      </c>
      <c r="DL88" s="297"/>
      <c r="DM88" s="297"/>
      <c r="DN88" s="262">
        <f t="shared" si="50"/>
        <v>20</v>
      </c>
      <c r="DO88" s="298" t="e">
        <f>($S88+$Q88*($O88+$I88*($D88*(1-Stoff!$P88))*(1-EXP(-($F88+Stoff!$L88*365)*DN88)))*(1-EXP(-($N88+Stoff!$M88*365)*DN88)))</f>
        <v>#VALUE!</v>
      </c>
      <c r="DP88" s="294" t="e">
        <f t="shared" si="51"/>
        <v>#VALUE!</v>
      </c>
      <c r="DQ88" s="296" t="e">
        <f>(DP88/1000000)*('1a. Spredningsmodell input'!$B$49)*'1a. Spredningsmodell input'!$C$35</f>
        <v>#VALUE!</v>
      </c>
      <c r="DR88" s="294" t="e">
        <f t="shared" si="52"/>
        <v>#VALUE!</v>
      </c>
      <c r="DS88" s="290" t="e">
        <f>(DR88/1000000)*('1a. Spredningsmodell input'!$B$49)*'1a. Spredningsmodell input'!$C$35</f>
        <v>#VALUE!</v>
      </c>
      <c r="DT88" s="297" t="e">
        <f>($S88)*EXP(-(Stoff!$N88*365+$U88)*DN88)+DQ88</f>
        <v>#VALUE!</v>
      </c>
      <c r="DU88" s="297" t="e">
        <f>(Stoff!$P88*$S88+DS88)*EXP(-$T88*DN88)</f>
        <v>#VALUE!</v>
      </c>
      <c r="DV88" s="297" t="e">
        <f>(DT88+DU88)*1000000000/('1a. Spredningsmodell input'!$C$36*1000)</f>
        <v>#VALUE!</v>
      </c>
      <c r="DW88" s="297" t="e">
        <f>$G88*(1-EXP(-'1a. Spredningsmodell input'!$B$43*Mellomregninger!DN88))*(1-EXP(-'1a. Spredningsmodell input'!$B$46*Mellomregninger!DN88))</f>
        <v>#VALUE!</v>
      </c>
      <c r="DX88" s="297"/>
      <c r="DY88" s="297"/>
      <c r="DZ88" s="262">
        <f t="shared" si="53"/>
        <v>100</v>
      </c>
      <c r="EA88" s="298" t="e">
        <f>($S88+$Q88*($O88+$I88*($D88*(1-Stoff!$P88))*(1-EXP(-($F88+Stoff!$L88*365)*DZ88)))*(1-EXP(-($N88+Stoff!$M88*365)*DZ88)))</f>
        <v>#VALUE!</v>
      </c>
      <c r="EB88" s="294" t="e">
        <f t="shared" si="54"/>
        <v>#VALUE!</v>
      </c>
      <c r="EC88" s="296" t="e">
        <f>(EB88/1000000)*('1a. Spredningsmodell input'!$B$49)*'1a. Spredningsmodell input'!$C$35</f>
        <v>#VALUE!</v>
      </c>
      <c r="ED88" s="294" t="e">
        <f t="shared" si="55"/>
        <v>#VALUE!</v>
      </c>
      <c r="EE88" s="290" t="e">
        <f>(ED88/1000000)*('1a. Spredningsmodell input'!$B$49)*'1a. Spredningsmodell input'!$C$35</f>
        <v>#VALUE!</v>
      </c>
      <c r="EF88" s="297" t="e">
        <f>($S88)*EXP(-(Stoff!$N88*365+$U88)*DZ88)+EC88</f>
        <v>#VALUE!</v>
      </c>
      <c r="EG88" s="297" t="e">
        <f>(Stoff!$P88*$S88+EE88)*EXP(-$T88*DZ88)</f>
        <v>#VALUE!</v>
      </c>
      <c r="EH88" s="297" t="e">
        <f>(EF88+EG88)*1000000000/('1a. Spredningsmodell input'!$C$36*1000)</f>
        <v>#VALUE!</v>
      </c>
      <c r="EI88" s="297" t="e">
        <f>$G88*(1-EXP(-'1a. Spredningsmodell input'!$B$43*Mellomregninger!DZ88))*(1-EXP(-'1a. Spredningsmodell input'!$B$46*Mellomregninger!DZ88))</f>
        <v>#VALUE!</v>
      </c>
      <c r="EJ88" s="297"/>
      <c r="EK88" s="297"/>
      <c r="EL88" s="262">
        <f t="shared" si="56"/>
        <v>1.0000000000000001E+25</v>
      </c>
      <c r="EM88" s="294" t="e">
        <f>($S88+$Q88*($O88+$I88*($D88*(1-Stoff!$P88))*(1-EXP(-($F88+Stoff!$L88*365)*EL88)))*(1-EXP(-($N88+Stoff!$M88*365)*EL88)))</f>
        <v>#VALUE!</v>
      </c>
      <c r="EN88" s="296" t="e">
        <f>($S88+$Q88*($O88+$I88*($D88*(1-Stoff!$P88))*(1-EXP(-($F88+Stoff!$L88*365)*(EL88-'1a. Spredningsmodell input'!$C$35))))*(1-EXP(-($N88+Stoff!$M88*365)*(EL88-'1a. Spredningsmodell input'!$C$35))))</f>
        <v>#VALUE!</v>
      </c>
      <c r="EO88" s="294" t="e">
        <f>IF(EL88&lt;'1a. Spredningsmodell input'!$C$35,EM88-($S88)*EXP(-(Stoff!$N88*365+$U88)*EL88),EM88-EN88)</f>
        <v>#VALUE!</v>
      </c>
      <c r="EP88" s="290" t="e">
        <f>((($D88*(Stoff!$P88))*(1-EXP(-'1a. Spredningsmodell input'!$B$43*EL88)))*(1-EXP(-'1a. Spredningsmodell input'!$B$46*EL88)))</f>
        <v>#VALUE!</v>
      </c>
      <c r="EQ88" s="294" t="e">
        <f>((($D88*(Stoff!$P88))*(1-EXP(-'1a. Spredningsmodell input'!$B$43*(EL88-'1a. Spredningsmodell input'!$C$35))))*(1-EXP(-'1a. Spredningsmodell input'!$B$46*(EL88-'1a. Spredningsmodell input'!$C$35))))</f>
        <v>#VALUE!</v>
      </c>
      <c r="ER88" s="290" t="e">
        <f>IF(EL88&lt;'1a. Spredningsmodell input'!$C$35,0,EP88-EQ88)</f>
        <v>#VALUE!</v>
      </c>
      <c r="ES88" s="297" t="e">
        <f>($S88)*EXP(-(Stoff!$N88*365+$U88)*EL88)+EO88</f>
        <v>#VALUE!</v>
      </c>
      <c r="ET88" s="297" t="e">
        <f>(Stoff!$P88*$S88+ER88)*EXP(-$T88*EL88)</f>
        <v>#VALUE!</v>
      </c>
      <c r="EU88" s="297" t="e">
        <f>(ES88+ET88)*1000000000/('1a. Spredningsmodell input'!$C$36*1000)</f>
        <v>#VALUE!</v>
      </c>
      <c r="EV88" s="262" t="e">
        <f t="shared" si="57"/>
        <v>#VALUE!</v>
      </c>
      <c r="EW88" s="299" t="e">
        <f t="shared" si="58"/>
        <v>#VALUE!</v>
      </c>
      <c r="EX88" s="262" t="e">
        <f t="shared" si="59"/>
        <v>#VALUE!</v>
      </c>
    </row>
    <row r="89" spans="1:154" x14ac:dyDescent="0.35">
      <c r="A89" s="301" t="str">
        <f>Stoff!A89</f>
        <v>nystoff 3</v>
      </c>
      <c r="B89" s="34" t="str">
        <f>IF(ISNUMBER('1c. Kons. porevann'!E89),1000*'1c. Kons. porevann'!E89,IF(ISNUMBER('1b. Kons. umettet jord'!E89),1000*'1b. Kons. umettet jord'!E89/C89,""))</f>
        <v/>
      </c>
      <c r="C89" s="244">
        <f>IF(Stoff!B89="uorganisk",Stoff!C89,Stoff!D89*'1a. Spredningsmodell input'!$C$11)</f>
        <v>0</v>
      </c>
      <c r="D89" s="34" t="str">
        <f>IF(ISNUMBER(B89),0.000001*('1b. Kons. umettet jord'!G89*'1a. Spredningsmodell input'!$C$12+B89*0.001*'1a. Spredningsmodell input'!$C$14)*1000*'1a. Spredningsmodell input'!$B$41*'1a. Spredningsmodell input'!$C$18,"")</f>
        <v/>
      </c>
      <c r="E89" s="283">
        <f>C89*'1a. Spredningsmodell input'!$C$12/'1a. Spredningsmodell input'!$C$14+1</f>
        <v>1</v>
      </c>
      <c r="F89" s="284">
        <f>'1a. Spredningsmodell input'!$B$43/E89</f>
        <v>1.4999999999999998</v>
      </c>
      <c r="G89" s="34" t="e">
        <f>Stoff!P89*Mellomregninger!D89</f>
        <v>#VALUE!</v>
      </c>
      <c r="H89" s="283" t="e">
        <f>(D89-G89)*(F89/(F89+Stoff!L89))</f>
        <v>#VALUE!</v>
      </c>
      <c r="I89" s="283">
        <f>F89/(F89+Stoff!L89)</f>
        <v>1</v>
      </c>
      <c r="J89" s="285" t="str">
        <f>IF(B89="","",IF(ISNUMBER('1d. Kons. mettet sone'!E89),'1d. Kons. mettet sone'!E89,IF(ISNUMBER('1e. Kons. grunnvann'!E89),'1e. Kons. grunnvann'!E89*Mellomregninger!K89,0)))</f>
        <v/>
      </c>
      <c r="K89" s="286">
        <f>IF(Stoff!B89="uorganisk",Stoff!C89,Stoff!D89*'1a. Spredningsmodell input'!$C$24)</f>
        <v>0</v>
      </c>
      <c r="L89" s="27" t="e">
        <f>IF(ISNUMBER('1e. Kons. grunnvann'!E89),1000*'1e. Kons. grunnvann'!E89,1000*J89/K89)</f>
        <v>#VALUE!</v>
      </c>
      <c r="M89" s="34">
        <f>K89*'1a. Spredningsmodell input'!$C$25/'1a. Spredningsmodell input'!$C$26+1</f>
        <v>1</v>
      </c>
      <c r="N89" s="284">
        <f>'1a. Spredningsmodell input'!$C$26/M89</f>
        <v>0.4</v>
      </c>
      <c r="O89" s="287" t="e">
        <f>0.000000001*(J89*'1a. Spredningsmodell input'!$C$25+L89)*1000*'1a. Spredningsmodell input'!$B$45</f>
        <v>#VALUE!</v>
      </c>
      <c r="P89" s="287" t="e">
        <f>O89*Stoff!P89</f>
        <v>#VALUE!</v>
      </c>
      <c r="Q89" s="287">
        <f>N89/(N89+Stoff!M89)</f>
        <v>1</v>
      </c>
      <c r="R89" s="288">
        <f>IF(ISNUMBER('1f. Kons. resipient'!E89),'1f. Kons. resipient'!E89,0)</f>
        <v>0</v>
      </c>
      <c r="S89" s="288">
        <f>0.000000001*'1a. Spredningsmodell input'!$C$36*R89*1000</f>
        <v>0</v>
      </c>
      <c r="T89" s="288">
        <f>1/'1a. Spredningsmodell input'!$C$35</f>
        <v>1</v>
      </c>
      <c r="U89" s="288">
        <f>1/'1a. Spredningsmodell input'!$C$35</f>
        <v>1</v>
      </c>
      <c r="V89" s="300" t="e">
        <f>(1/($N89+Stoff!$L89))*(LN(($D89*$I89/($D89*$I89+$J89))*($F89+Stoff!$L89+$N89+Stoff!$M89)/($N89+Stoff!$M89)))</f>
        <v>#VALUE!</v>
      </c>
      <c r="W89" s="290" t="e">
        <f>($D89-Stoff!$P89*$D89)*EXP(-($F89+Stoff!$L89*365)*V89)</f>
        <v>#VALUE!</v>
      </c>
      <c r="X89" s="291" t="e">
        <f>(Stoff!$P89*$D89)*EXP(-'1a. Spredningsmodell input'!$B$43*V89)</f>
        <v>#VALUE!</v>
      </c>
      <c r="Y89" s="290" t="e">
        <f>($D89-Stoff!$P89*$D89-W89)*($F89/($F89+Stoff!$L89*365))</f>
        <v>#VALUE!</v>
      </c>
      <c r="Z89" s="290" t="e">
        <f>(Stoff!$P89*$D89)-X89</f>
        <v>#VALUE!</v>
      </c>
      <c r="AA89" s="290" t="e">
        <f>($O89+Y89)*EXP(-($N89+Stoff!$M89*365)*V89)</f>
        <v>#VALUE!</v>
      </c>
      <c r="AB89" s="290" t="e">
        <f>(Stoff!$P89*$O89+Z89)*EXP(-('1a. Spredningsmodell input'!$B$46)*V89)</f>
        <v>#VALUE!</v>
      </c>
      <c r="AC89" s="292" t="e">
        <f>((AA89+AB89)*1000000000)/('1a. Spredningsmodell input'!$B$45*1000)</f>
        <v>#VALUE!</v>
      </c>
      <c r="AD89" s="294" t="e">
        <f>0.001*AC89/('1a. Spredningsmodell input'!$C$25+'1a. Spredningsmodell input'!$C$26/Mellomregninger!$K89)</f>
        <v>#VALUE!</v>
      </c>
      <c r="AE89" s="294" t="e">
        <f>1000*AD89/$K89+AB89*1000000000/('1a. Spredningsmodell input'!$B$45*1000)</f>
        <v>#VALUE!</v>
      </c>
      <c r="AF89" s="294" t="e">
        <f t="shared" si="35"/>
        <v>#VALUE!</v>
      </c>
      <c r="AG89" s="294" t="e">
        <f>AB89*1000000000/('1a. Spredningsmodell input'!$B$45*1000)</f>
        <v>#VALUE!</v>
      </c>
      <c r="AH89" s="300" t="e">
        <f>(1/('1a. Spredningsmodell input'!$B$46))*(LN(($D89*Stoff!$P89/($D89*Stoff!$P89+$P89*Stoff!$P89))*('1a. Spredningsmodell input'!$B$43+'1a. Spredningsmodell input'!$B$46)/('1a. Spredningsmodell input'!$B$46)))</f>
        <v>#VALUE!</v>
      </c>
      <c r="AI89" s="290" t="e">
        <f>($D89-Stoff!$P89*$D89)*EXP(-($F89+Stoff!$L89*365)*AH89)</f>
        <v>#VALUE!</v>
      </c>
      <c r="AJ89" s="291" t="e">
        <f>(Stoff!$P89*$D89)*EXP(-'1a. Spredningsmodell input'!$B$43*AH89)</f>
        <v>#VALUE!</v>
      </c>
      <c r="AK89" s="290" t="e">
        <f>($D89-Stoff!$P89*$D89-AI89)*($F89/($F89+Stoff!$L89*365))</f>
        <v>#VALUE!</v>
      </c>
      <c r="AL89" s="290" t="e">
        <f>(Stoff!$P89*$D89)-AJ89</f>
        <v>#VALUE!</v>
      </c>
      <c r="AM89" s="290" t="e">
        <f>($O89+AK89)*EXP(-($N89+Stoff!$M89*365)*AH89)</f>
        <v>#VALUE!</v>
      </c>
      <c r="AN89" s="290" t="e">
        <f>(Stoff!$P89*$O89+AL89)*EXP(-('1a. Spredningsmodell input'!$B$46)*AH89)</f>
        <v>#VALUE!</v>
      </c>
      <c r="AO89" s="292" t="e">
        <f>((AM89+AN89)*1000000000)/('1a. Spredningsmodell input'!$B$45*1000)</f>
        <v>#VALUE!</v>
      </c>
      <c r="AP89" s="294" t="e">
        <f>0.001*AO89/('1a. Spredningsmodell input'!$C$25+'1a. Spredningsmodell input'!$C$26/Mellomregninger!$K89)</f>
        <v>#VALUE!</v>
      </c>
      <c r="AQ89" s="294" t="e">
        <f>1000*AP89/$K89+AN89*1000000000/('1a. Spredningsmodell input'!$B$45*1000)</f>
        <v>#VALUE!</v>
      </c>
      <c r="AR89" s="294" t="e">
        <f t="shared" si="36"/>
        <v>#VALUE!</v>
      </c>
      <c r="AS89" s="294" t="e">
        <f>AN89*1000000000/('1a. Spredningsmodell input'!$B$45*1000)</f>
        <v>#VALUE!</v>
      </c>
      <c r="AT89" s="295">
        <f t="shared" si="37"/>
        <v>5</v>
      </c>
      <c r="AU89" s="290" t="e">
        <f>($D89-Stoff!$P89*$D89)*EXP(-($F89+Stoff!$L89*365)*AT89)</f>
        <v>#VALUE!</v>
      </c>
      <c r="AV89" s="291" t="e">
        <f>(Stoff!$P89*$D89)*EXP(-'1a. Spredningsmodell input'!$B$43*AT89)</f>
        <v>#VALUE!</v>
      </c>
      <c r="AW89" s="290" t="e">
        <f>($D89-Stoff!$P89*$D89-AU89)*($F89/($F89+Stoff!$L89*365))</f>
        <v>#VALUE!</v>
      </c>
      <c r="AX89" s="290" t="e">
        <f>(Stoff!$P89*$D89)-AV89</f>
        <v>#VALUE!</v>
      </c>
      <c r="AY89" s="290" t="e">
        <f>($O89+AW89)*EXP(-($N89+Stoff!$M89*365)*AT89)</f>
        <v>#VALUE!</v>
      </c>
      <c r="AZ89" s="290" t="e">
        <f>(Stoff!$P89*$O89+AX89)*EXP(-('1a. Spredningsmodell input'!$B$46)*AT89)</f>
        <v>#VALUE!</v>
      </c>
      <c r="BA89" s="292" t="e">
        <f>((AY89+AZ89)*1000000000)/('1a. Spredningsmodell input'!$B$45*1000)</f>
        <v>#VALUE!</v>
      </c>
      <c r="BB89" s="294" t="e">
        <f>0.001*BA89/('1a. Spredningsmodell input'!$C$25+'1a. Spredningsmodell input'!$C$26/Mellomregninger!$K89)</f>
        <v>#VALUE!</v>
      </c>
      <c r="BC89" s="294" t="e">
        <f>1000*BB89/$K89+AZ89*1000000000/('1a. Spredningsmodell input'!$B$45*1000)</f>
        <v>#VALUE!</v>
      </c>
      <c r="BD89" s="294" t="e">
        <f t="shared" si="38"/>
        <v>#VALUE!</v>
      </c>
      <c r="BE89" s="294" t="e">
        <f>AZ89*1000000000/('1a. Spredningsmodell input'!$B$45*1000)</f>
        <v>#VALUE!</v>
      </c>
      <c r="BF89" s="295">
        <f t="shared" si="39"/>
        <v>20</v>
      </c>
      <c r="BG89" s="290" t="e">
        <f>($D89-Stoff!$P89*$D89)*EXP(-($F89+Stoff!$L89*365)*BF89)</f>
        <v>#VALUE!</v>
      </c>
      <c r="BH89" s="291" t="e">
        <f>(Stoff!$P89*$D89)*EXP(-'1a. Spredningsmodell input'!$B$43*BF89)</f>
        <v>#VALUE!</v>
      </c>
      <c r="BI89" s="290" t="e">
        <f>($D89-Stoff!$P89*$D89-BG89)*($F89/($F89+Stoff!$L89*365))</f>
        <v>#VALUE!</v>
      </c>
      <c r="BJ89" s="290" t="e">
        <f>(Stoff!$P89*$D89)-BH89</f>
        <v>#VALUE!</v>
      </c>
      <c r="BK89" s="290" t="e">
        <f>($O89+BI89)*EXP(-($N89+Stoff!$M89*365)*BF89)</f>
        <v>#VALUE!</v>
      </c>
      <c r="BL89" s="290" t="e">
        <f>(Stoff!$P89*$O89+BJ89)*EXP(-('1a. Spredningsmodell input'!$B$46)*BF89)</f>
        <v>#VALUE!</v>
      </c>
      <c r="BM89" s="292" t="e">
        <f>((BK89+BL89)*1000000000)/('1a. Spredningsmodell input'!$B$45*1000)</f>
        <v>#VALUE!</v>
      </c>
      <c r="BN89" s="294" t="e">
        <f>0.001*BM89/('1a. Spredningsmodell input'!$C$25+'1a. Spredningsmodell input'!$C$26/Mellomregninger!$K89)</f>
        <v>#VALUE!</v>
      </c>
      <c r="BO89" s="294" t="e">
        <f>1000*BN89/$K89+BL89*1000000000/('1a. Spredningsmodell input'!$B$45*1000)</f>
        <v>#VALUE!</v>
      </c>
      <c r="BP89" s="294" t="e">
        <f t="shared" si="40"/>
        <v>#VALUE!</v>
      </c>
      <c r="BQ89" s="294" t="e">
        <f>BL89*1000000000/('1a. Spredningsmodell input'!$B$45*1000)</f>
        <v>#VALUE!</v>
      </c>
      <c r="BR89" s="295">
        <f t="shared" si="41"/>
        <v>100</v>
      </c>
      <c r="BS89" s="290" t="e">
        <f>($D89-Stoff!$P89*$D89)*EXP(-($F89+Stoff!$L89*365)*BR89)</f>
        <v>#VALUE!</v>
      </c>
      <c r="BT89" s="291" t="e">
        <f>(Stoff!$P89*$D89)*EXP(-'1a. Spredningsmodell input'!$B$43*BR89)</f>
        <v>#VALUE!</v>
      </c>
      <c r="BU89" s="290" t="e">
        <f>($D89-Stoff!$P89*$D89-BS89)*($F89/($F89+Stoff!$L89*365))</f>
        <v>#VALUE!</v>
      </c>
      <c r="BV89" s="290" t="e">
        <f>(Stoff!$P89*$D89)-BT89</f>
        <v>#VALUE!</v>
      </c>
      <c r="BW89" s="290" t="e">
        <f>($O89+BU89)*EXP(-($N89+Stoff!$M89*365)*BR89)</f>
        <v>#VALUE!</v>
      </c>
      <c r="BX89" s="290" t="e">
        <f>(Stoff!$P89*$O89+BV89)*EXP(-('1a. Spredningsmodell input'!$B$46)*BR89)</f>
        <v>#VALUE!</v>
      </c>
      <c r="BY89" s="292" t="e">
        <f>((BW89+BX89)*1000000000)/('1a. Spredningsmodell input'!$B$45*1000)</f>
        <v>#VALUE!</v>
      </c>
      <c r="BZ89" s="294" t="e">
        <f>0.001*BY89/('1a. Spredningsmodell input'!$C$25+'1a. Spredningsmodell input'!$C$26/Mellomregninger!$K89)</f>
        <v>#VALUE!</v>
      </c>
      <c r="CA89" s="294" t="e">
        <f>1000*BZ89/$K89+BX89*1000000000/('1a. Spredningsmodell input'!$B$45*1000)</f>
        <v>#VALUE!</v>
      </c>
      <c r="CB89" s="294" t="e">
        <f t="shared" si="42"/>
        <v>#VALUE!</v>
      </c>
      <c r="CC89" s="294" t="e">
        <f>BX89*1000000000/('1a. Spredningsmodell input'!$B$45*1000)</f>
        <v>#VALUE!</v>
      </c>
      <c r="CD89" s="294" t="e">
        <f>V89+'1a. Spredningsmodell input'!$C$35</f>
        <v>#VALUE!</v>
      </c>
      <c r="CE89" s="294" t="e">
        <f>($S89+$Q89*($O89+$I89*($D89*(1-Stoff!$P89))*(1-EXP(-($F89+Stoff!$L89*365)*CD89)))*(1-EXP(-($N89+Stoff!$M89*365)*CD89)))</f>
        <v>#VALUE!</v>
      </c>
      <c r="CF89" s="294" t="e">
        <f t="shared" si="43"/>
        <v>#VALUE!</v>
      </c>
      <c r="CG89" s="296" t="e">
        <f>(CF89/1000000)*'1a. Spredningsmodell input'!$B$49*'1a. Spredningsmodell input'!$C$35</f>
        <v>#VALUE!</v>
      </c>
      <c r="CH89" s="294" t="e">
        <f t="shared" si="44"/>
        <v>#VALUE!</v>
      </c>
      <c r="CI89" s="290" t="e">
        <f>(CH89/1000000)*'1a. Spredningsmodell input'!$B$49*'1a. Spredningsmodell input'!$C$35</f>
        <v>#VALUE!</v>
      </c>
      <c r="CJ89" s="297" t="e">
        <f>($S89)*EXP(-(Stoff!$N89*365+$U89)*CD89)+CG89</f>
        <v>#VALUE!</v>
      </c>
      <c r="CK89" s="297" t="e">
        <f>(Stoff!$P89*$S89+CI89)*EXP(-$T89*CD89)</f>
        <v>#VALUE!</v>
      </c>
      <c r="CL89" s="297" t="e">
        <f>(CJ89+CK89)*1000000000/('1a. Spredningsmodell input'!$C$36*1000)</f>
        <v>#VALUE!</v>
      </c>
      <c r="CM89" s="297" t="e">
        <f>$G89*(1-EXP(-'1a. Spredningsmodell input'!$B$43*Mellomregninger!CD89))*(1-EXP(-'1a. Spredningsmodell input'!$B$46*Mellomregninger!CD89))</f>
        <v>#VALUE!</v>
      </c>
      <c r="CN89" s="297"/>
      <c r="CO89" s="297"/>
      <c r="CP89" s="290">
        <f>IF(ISNUMBER(AH89),AH89+'1a. Spredningsmodell input'!$C$35,'1a. Spredningsmodell input'!$C$35)</f>
        <v>1</v>
      </c>
      <c r="CQ89" s="294" t="e">
        <f>($S89+$Q89*($O89+$I89*($D89*(1-Stoff!$P89))*(1-EXP(-($F89+Stoff!$L89*365)*CP89)))*(1-EXP(-($N89+Stoff!$M89*365)*CP89)))</f>
        <v>#VALUE!</v>
      </c>
      <c r="CR89" s="294" t="e">
        <f t="shared" si="45"/>
        <v>#VALUE!</v>
      </c>
      <c r="CS89" s="296" t="e">
        <f>(CR89/1000000)*('1a. Spredningsmodell input'!$B$49*'1a. Spredningsmodell input'!$C$35)</f>
        <v>#VALUE!</v>
      </c>
      <c r="CT89" s="294" t="e">
        <f t="shared" si="46"/>
        <v>#VALUE!</v>
      </c>
      <c r="CU89" s="290" t="e">
        <f>(CT89/1000000)*('1a. Spredningsmodell input'!$B$49)*'1a. Spredningsmodell input'!$C$35</f>
        <v>#VALUE!</v>
      </c>
      <c r="CV89" s="297" t="e">
        <f>($S89)*EXP(-(Stoff!$N89*365+$U89)*CP89)+CS89</f>
        <v>#VALUE!</v>
      </c>
      <c r="CW89" s="297" t="e">
        <f>(Stoff!$P89*$S89+CU89)*EXP(-$T89*CP89)</f>
        <v>#VALUE!</v>
      </c>
      <c r="CX89" s="297">
        <f>IF(ISERROR(CV89),0,(CV89+CW89)*1000000000/('1a. Spredningsmodell input'!$C$36*1000))</f>
        <v>0</v>
      </c>
      <c r="CY89" s="297" t="e">
        <f>$G89*(1-EXP(-'1a. Spredningsmodell input'!$B$43*Mellomregninger!CP89))*(1-EXP(-'1a. Spredningsmodell input'!$B$46*Mellomregninger!CP89))</f>
        <v>#VALUE!</v>
      </c>
      <c r="CZ89" s="297"/>
      <c r="DA89" s="297"/>
      <c r="DB89" s="262">
        <f t="shared" si="47"/>
        <v>5</v>
      </c>
      <c r="DC89" s="298" t="e">
        <f>($S89+$Q89*($O89+$I89*($D89*(1-Stoff!$P89))*(1-EXP(-($F89+Stoff!$L89*365)*DB89)))*(1-EXP(-($N89+Stoff!$M89*365)*DB89)))</f>
        <v>#VALUE!</v>
      </c>
      <c r="DD89" s="294" t="e">
        <f t="shared" si="48"/>
        <v>#VALUE!</v>
      </c>
      <c r="DE89" s="296" t="e">
        <f>(DD89/1000000)*('1a. Spredningsmodell input'!$B$49)*'1a. Spredningsmodell input'!$C$35</f>
        <v>#VALUE!</v>
      </c>
      <c r="DF89" s="294" t="e">
        <f t="shared" si="49"/>
        <v>#VALUE!</v>
      </c>
      <c r="DG89" s="290" t="e">
        <f>(DF89/1000000)*('1a. Spredningsmodell input'!$B$49)*'1a. Spredningsmodell input'!$C$35</f>
        <v>#VALUE!</v>
      </c>
      <c r="DH89" s="297" t="e">
        <f>($S89)*EXP(-(Stoff!$N89*365+$U89)*DB89)+DE89</f>
        <v>#VALUE!</v>
      </c>
      <c r="DI89" s="297" t="e">
        <f>(Stoff!$P89*$S89+DG89)*EXP(-$T89*DB89)</f>
        <v>#VALUE!</v>
      </c>
      <c r="DJ89" s="297" t="e">
        <f>(DH89+DI89)*1000000000/('1a. Spredningsmodell input'!$C$36*1000)</f>
        <v>#VALUE!</v>
      </c>
      <c r="DK89" s="297" t="e">
        <f>$G89*(1-EXP(-'1a. Spredningsmodell input'!$B$43*Mellomregninger!DB89))*(1-EXP(-'1a. Spredningsmodell input'!$B$46*Mellomregninger!DB89))</f>
        <v>#VALUE!</v>
      </c>
      <c r="DL89" s="297"/>
      <c r="DM89" s="297"/>
      <c r="DN89" s="262">
        <f t="shared" si="50"/>
        <v>20</v>
      </c>
      <c r="DO89" s="298" t="e">
        <f>($S89+$Q89*($O89+$I89*($D89*(1-Stoff!$P89))*(1-EXP(-($F89+Stoff!$L89*365)*DN89)))*(1-EXP(-($N89+Stoff!$M89*365)*DN89)))</f>
        <v>#VALUE!</v>
      </c>
      <c r="DP89" s="294" t="e">
        <f t="shared" si="51"/>
        <v>#VALUE!</v>
      </c>
      <c r="DQ89" s="296" t="e">
        <f>(DP89/1000000)*('1a. Spredningsmodell input'!$B$49)*'1a. Spredningsmodell input'!$C$35</f>
        <v>#VALUE!</v>
      </c>
      <c r="DR89" s="294" t="e">
        <f t="shared" si="52"/>
        <v>#VALUE!</v>
      </c>
      <c r="DS89" s="290" t="e">
        <f>(DR89/1000000)*('1a. Spredningsmodell input'!$B$49)*'1a. Spredningsmodell input'!$C$35</f>
        <v>#VALUE!</v>
      </c>
      <c r="DT89" s="297" t="e">
        <f>($S89)*EXP(-(Stoff!$N89*365+$U89)*DN89)+DQ89</f>
        <v>#VALUE!</v>
      </c>
      <c r="DU89" s="297" t="e">
        <f>(Stoff!$P89*$S89+DS89)*EXP(-$T89*DN89)</f>
        <v>#VALUE!</v>
      </c>
      <c r="DV89" s="297" t="e">
        <f>(DT89+DU89)*1000000000/('1a. Spredningsmodell input'!$C$36*1000)</f>
        <v>#VALUE!</v>
      </c>
      <c r="DW89" s="297" t="e">
        <f>$G89*(1-EXP(-'1a. Spredningsmodell input'!$B$43*Mellomregninger!DN89))*(1-EXP(-'1a. Spredningsmodell input'!$B$46*Mellomregninger!DN89))</f>
        <v>#VALUE!</v>
      </c>
      <c r="DX89" s="297"/>
      <c r="DY89" s="297"/>
      <c r="DZ89" s="262">
        <f t="shared" si="53"/>
        <v>100</v>
      </c>
      <c r="EA89" s="298" t="e">
        <f>($S89+$Q89*($O89+$I89*($D89*(1-Stoff!$P89))*(1-EXP(-($F89+Stoff!$L89*365)*DZ89)))*(1-EXP(-($N89+Stoff!$M89*365)*DZ89)))</f>
        <v>#VALUE!</v>
      </c>
      <c r="EB89" s="294" t="e">
        <f t="shared" si="54"/>
        <v>#VALUE!</v>
      </c>
      <c r="EC89" s="296" t="e">
        <f>(EB89/1000000)*('1a. Spredningsmodell input'!$B$49)*'1a. Spredningsmodell input'!$C$35</f>
        <v>#VALUE!</v>
      </c>
      <c r="ED89" s="294" t="e">
        <f t="shared" si="55"/>
        <v>#VALUE!</v>
      </c>
      <c r="EE89" s="290" t="e">
        <f>(ED89/1000000)*('1a. Spredningsmodell input'!$B$49)*'1a. Spredningsmodell input'!$C$35</f>
        <v>#VALUE!</v>
      </c>
      <c r="EF89" s="297" t="e">
        <f>($S89)*EXP(-(Stoff!$N89*365+$U89)*DZ89)+EC89</f>
        <v>#VALUE!</v>
      </c>
      <c r="EG89" s="297" t="e">
        <f>(Stoff!$P89*$S89+EE89)*EXP(-$T89*DZ89)</f>
        <v>#VALUE!</v>
      </c>
      <c r="EH89" s="297" t="e">
        <f>(EF89+EG89)*1000000000/('1a. Spredningsmodell input'!$C$36*1000)</f>
        <v>#VALUE!</v>
      </c>
      <c r="EI89" s="297" t="e">
        <f>$G89*(1-EXP(-'1a. Spredningsmodell input'!$B$43*Mellomregninger!DZ89))*(1-EXP(-'1a. Spredningsmodell input'!$B$46*Mellomregninger!DZ89))</f>
        <v>#VALUE!</v>
      </c>
      <c r="EJ89" s="297"/>
      <c r="EK89" s="297"/>
      <c r="EL89" s="262">
        <f t="shared" si="56"/>
        <v>1.0000000000000001E+25</v>
      </c>
      <c r="EM89" s="294" t="e">
        <f>($S89+$Q89*($O89+$I89*($D89*(1-Stoff!$P89))*(1-EXP(-($F89+Stoff!$L89*365)*EL89)))*(1-EXP(-($N89+Stoff!$M89*365)*EL89)))</f>
        <v>#VALUE!</v>
      </c>
      <c r="EN89" s="296" t="e">
        <f>($S89+$Q89*($O89+$I89*($D89*(1-Stoff!$P89))*(1-EXP(-($F89+Stoff!$L89*365)*(EL89-'1a. Spredningsmodell input'!$C$35))))*(1-EXP(-($N89+Stoff!$M89*365)*(EL89-'1a. Spredningsmodell input'!$C$35))))</f>
        <v>#VALUE!</v>
      </c>
      <c r="EO89" s="294" t="e">
        <f>IF(EL89&lt;'1a. Spredningsmodell input'!$C$35,EM89-($S89)*EXP(-(Stoff!$N89*365+$U89)*EL89),EM89-EN89)</f>
        <v>#VALUE!</v>
      </c>
      <c r="EP89" s="290" t="e">
        <f>((($D89*(Stoff!$P89))*(1-EXP(-'1a. Spredningsmodell input'!$B$43*EL89)))*(1-EXP(-'1a. Spredningsmodell input'!$B$46*EL89)))</f>
        <v>#VALUE!</v>
      </c>
      <c r="EQ89" s="294" t="e">
        <f>((($D89*(Stoff!$P89))*(1-EXP(-'1a. Spredningsmodell input'!$B$43*(EL89-'1a. Spredningsmodell input'!$C$35))))*(1-EXP(-'1a. Spredningsmodell input'!$B$46*(EL89-'1a. Spredningsmodell input'!$C$35))))</f>
        <v>#VALUE!</v>
      </c>
      <c r="ER89" s="290" t="e">
        <f>IF(EL89&lt;'1a. Spredningsmodell input'!$C$35,0,EP89-EQ89)</f>
        <v>#VALUE!</v>
      </c>
      <c r="ES89" s="297" t="e">
        <f>($S89)*EXP(-(Stoff!$N89*365+$U89)*EL89)+EO89</f>
        <v>#VALUE!</v>
      </c>
      <c r="ET89" s="297" t="e">
        <f>(Stoff!$P89*$S89+ER89)*EXP(-$T89*EL89)</f>
        <v>#VALUE!</v>
      </c>
      <c r="EU89" s="297" t="e">
        <f>(ES89+ET89)*1000000000/('1a. Spredningsmodell input'!$C$36*1000)</f>
        <v>#VALUE!</v>
      </c>
      <c r="EV89" s="262" t="e">
        <f t="shared" si="57"/>
        <v>#VALUE!</v>
      </c>
      <c r="EW89" s="299" t="e">
        <f t="shared" si="58"/>
        <v>#VALUE!</v>
      </c>
      <c r="EX89" s="262" t="e">
        <f t="shared" si="59"/>
        <v>#VALUE!</v>
      </c>
    </row>
    <row r="90" spans="1:154" x14ac:dyDescent="0.35">
      <c r="A90" s="301" t="str">
        <f>Stoff!A90</f>
        <v>nystoff 4</v>
      </c>
      <c r="B90" s="34" t="str">
        <f>IF(ISNUMBER('1c. Kons. porevann'!E90),1000*'1c. Kons. porevann'!E90,IF(ISNUMBER('1b. Kons. umettet jord'!E90),1000*'1b. Kons. umettet jord'!E90/C90,""))</f>
        <v/>
      </c>
      <c r="C90" s="244">
        <f>IF(Stoff!B90="uorganisk",Stoff!C90,Stoff!D90*'1a. Spredningsmodell input'!$C$11)</f>
        <v>0</v>
      </c>
      <c r="D90" s="34" t="str">
        <f>IF(ISNUMBER(B90),0.000001*('1b. Kons. umettet jord'!G90*'1a. Spredningsmodell input'!$C$12+B90*0.001*'1a. Spredningsmodell input'!$C$14)*1000*'1a. Spredningsmodell input'!$B$41*'1a. Spredningsmodell input'!$C$18,"")</f>
        <v/>
      </c>
      <c r="E90" s="283">
        <f>C90*'1a. Spredningsmodell input'!$C$12/'1a. Spredningsmodell input'!$C$14+1</f>
        <v>1</v>
      </c>
      <c r="F90" s="284">
        <f>'1a. Spredningsmodell input'!$B$43/E90</f>
        <v>1.4999999999999998</v>
      </c>
      <c r="G90" s="34" t="e">
        <f>Stoff!P90*Mellomregninger!D90</f>
        <v>#VALUE!</v>
      </c>
      <c r="H90" s="283" t="e">
        <f>(D90-G90)*(F90/(F90+Stoff!L90))</f>
        <v>#VALUE!</v>
      </c>
      <c r="I90" s="283">
        <f>F90/(F90+Stoff!L90)</f>
        <v>1</v>
      </c>
      <c r="J90" s="285" t="str">
        <f>IF(B90="","",IF(ISNUMBER('1d. Kons. mettet sone'!E90),'1d. Kons. mettet sone'!E90,IF(ISNUMBER('1e. Kons. grunnvann'!E90),'1e. Kons. grunnvann'!E90*Mellomregninger!K90,0)))</f>
        <v/>
      </c>
      <c r="K90" s="286">
        <f>IF(Stoff!B90="uorganisk",Stoff!C90,Stoff!D90*'1a. Spredningsmodell input'!$C$24)</f>
        <v>0</v>
      </c>
      <c r="L90" s="27" t="e">
        <f>IF(ISNUMBER('1e. Kons. grunnvann'!E90),1000*'1e. Kons. grunnvann'!E90,1000*J90/K90)</f>
        <v>#VALUE!</v>
      </c>
      <c r="M90" s="34">
        <f>K90*'1a. Spredningsmodell input'!$C$25/'1a. Spredningsmodell input'!$C$26+1</f>
        <v>1</v>
      </c>
      <c r="N90" s="284">
        <f>'1a. Spredningsmodell input'!$C$26/M90</f>
        <v>0.4</v>
      </c>
      <c r="O90" s="287" t="e">
        <f>0.000000001*(J90*'1a. Spredningsmodell input'!$C$25+L90)*1000*'1a. Spredningsmodell input'!$B$45</f>
        <v>#VALUE!</v>
      </c>
      <c r="P90" s="287" t="e">
        <f>O90*Stoff!P90</f>
        <v>#VALUE!</v>
      </c>
      <c r="Q90" s="287">
        <f>N90/(N90+Stoff!M90)</f>
        <v>1</v>
      </c>
      <c r="R90" s="288">
        <f>IF(ISNUMBER('1f. Kons. resipient'!E90),'1f. Kons. resipient'!E90,0)</f>
        <v>0</v>
      </c>
      <c r="S90" s="288">
        <f>0.000000001*'1a. Spredningsmodell input'!$C$36*R90*1000</f>
        <v>0</v>
      </c>
      <c r="T90" s="288">
        <f>1/'1a. Spredningsmodell input'!$C$35</f>
        <v>1</v>
      </c>
      <c r="U90" s="288">
        <f>1/'1a. Spredningsmodell input'!$C$35</f>
        <v>1</v>
      </c>
      <c r="V90" s="300" t="e">
        <f>(1/($N90+Stoff!$L90))*(LN(($D90*$I90/($D90*$I90+$J90))*($F90+Stoff!$L90+$N90+Stoff!$M90)/($N90+Stoff!$M90)))</f>
        <v>#VALUE!</v>
      </c>
      <c r="W90" s="290" t="e">
        <f>($D90-Stoff!$P90*$D90)*EXP(-($F90+Stoff!$L90*365)*V90)</f>
        <v>#VALUE!</v>
      </c>
      <c r="X90" s="291" t="e">
        <f>(Stoff!$P90*$D90)*EXP(-'1a. Spredningsmodell input'!$B$43*V90)</f>
        <v>#VALUE!</v>
      </c>
      <c r="Y90" s="290" t="e">
        <f>($D90-Stoff!$P90*$D90-W90)*($F90/($F90+Stoff!$L90*365))</f>
        <v>#VALUE!</v>
      </c>
      <c r="Z90" s="290" t="e">
        <f>(Stoff!$P90*$D90)-X90</f>
        <v>#VALUE!</v>
      </c>
      <c r="AA90" s="290" t="e">
        <f>($O90+Y90)*EXP(-($N90+Stoff!$M90*365)*V90)</f>
        <v>#VALUE!</v>
      </c>
      <c r="AB90" s="290" t="e">
        <f>(Stoff!$P90*$O90+Z90)*EXP(-('1a. Spredningsmodell input'!$B$46)*V90)</f>
        <v>#VALUE!</v>
      </c>
      <c r="AC90" s="292" t="e">
        <f>((AA90+AB90)*1000000000)/('1a. Spredningsmodell input'!$B$45*1000)</f>
        <v>#VALUE!</v>
      </c>
      <c r="AD90" s="294" t="e">
        <f>0.001*AC90/('1a. Spredningsmodell input'!$C$25+'1a. Spredningsmodell input'!$C$26/Mellomregninger!$K90)</f>
        <v>#VALUE!</v>
      </c>
      <c r="AE90" s="294" t="e">
        <f>1000*AD90/$K90+AB90*1000000000/('1a. Spredningsmodell input'!$B$45*1000)</f>
        <v>#VALUE!</v>
      </c>
      <c r="AF90" s="294" t="e">
        <f t="shared" si="35"/>
        <v>#VALUE!</v>
      </c>
      <c r="AG90" s="294" t="e">
        <f>AB90*1000000000/('1a. Spredningsmodell input'!$B$45*1000)</f>
        <v>#VALUE!</v>
      </c>
      <c r="AH90" s="300" t="e">
        <f>(1/('1a. Spredningsmodell input'!$B$46))*(LN(($D90*Stoff!$P90/($D90*Stoff!$P90+$P90*Stoff!$P90))*('1a. Spredningsmodell input'!$B$43+'1a. Spredningsmodell input'!$B$46)/('1a. Spredningsmodell input'!$B$46)))</f>
        <v>#VALUE!</v>
      </c>
      <c r="AI90" s="290" t="e">
        <f>($D90-Stoff!$P90*$D90)*EXP(-($F90+Stoff!$L90*365)*AH90)</f>
        <v>#VALUE!</v>
      </c>
      <c r="AJ90" s="291" t="e">
        <f>(Stoff!$P90*$D90)*EXP(-'1a. Spredningsmodell input'!$B$43*AH90)</f>
        <v>#VALUE!</v>
      </c>
      <c r="AK90" s="290" t="e">
        <f>($D90-Stoff!$P90*$D90-AI90)*($F90/($F90+Stoff!$L90*365))</f>
        <v>#VALUE!</v>
      </c>
      <c r="AL90" s="290" t="e">
        <f>(Stoff!$P90*$D90)-AJ90</f>
        <v>#VALUE!</v>
      </c>
      <c r="AM90" s="290" t="e">
        <f>($O90+AK90)*EXP(-($N90+Stoff!$M90*365)*AH90)</f>
        <v>#VALUE!</v>
      </c>
      <c r="AN90" s="290" t="e">
        <f>(Stoff!$P90*$O90+AL90)*EXP(-('1a. Spredningsmodell input'!$B$46)*AH90)</f>
        <v>#VALUE!</v>
      </c>
      <c r="AO90" s="292" t="e">
        <f>((AM90+AN90)*1000000000)/('1a. Spredningsmodell input'!$B$45*1000)</f>
        <v>#VALUE!</v>
      </c>
      <c r="AP90" s="294" t="e">
        <f>0.001*AO90/('1a. Spredningsmodell input'!$C$25+'1a. Spredningsmodell input'!$C$26/Mellomregninger!$K90)</f>
        <v>#VALUE!</v>
      </c>
      <c r="AQ90" s="294" t="e">
        <f>1000*AP90/$K90+AN90*1000000000/('1a. Spredningsmodell input'!$B$45*1000)</f>
        <v>#VALUE!</v>
      </c>
      <c r="AR90" s="294" t="e">
        <f t="shared" si="36"/>
        <v>#VALUE!</v>
      </c>
      <c r="AS90" s="294" t="e">
        <f>AN90*1000000000/('1a. Spredningsmodell input'!$B$45*1000)</f>
        <v>#VALUE!</v>
      </c>
      <c r="AT90" s="295">
        <f t="shared" si="37"/>
        <v>5</v>
      </c>
      <c r="AU90" s="290" t="e">
        <f>($D90-Stoff!$P90*$D90)*EXP(-($F90+Stoff!$L90*365)*AT90)</f>
        <v>#VALUE!</v>
      </c>
      <c r="AV90" s="291" t="e">
        <f>(Stoff!$P90*$D90)*EXP(-'1a. Spredningsmodell input'!$B$43*AT90)</f>
        <v>#VALUE!</v>
      </c>
      <c r="AW90" s="290" t="e">
        <f>($D90-Stoff!$P90*$D90-AU90)*($F90/($F90+Stoff!$L90*365))</f>
        <v>#VALUE!</v>
      </c>
      <c r="AX90" s="290" t="e">
        <f>(Stoff!$P90*$D90)-AV90</f>
        <v>#VALUE!</v>
      </c>
      <c r="AY90" s="290" t="e">
        <f>($O90+AW90)*EXP(-($N90+Stoff!$M90*365)*AT90)</f>
        <v>#VALUE!</v>
      </c>
      <c r="AZ90" s="290" t="e">
        <f>(Stoff!$P90*$O90+AX90)*EXP(-('1a. Spredningsmodell input'!$B$46)*AT90)</f>
        <v>#VALUE!</v>
      </c>
      <c r="BA90" s="292" t="e">
        <f>((AY90+AZ90)*1000000000)/('1a. Spredningsmodell input'!$B$45*1000)</f>
        <v>#VALUE!</v>
      </c>
      <c r="BB90" s="294" t="e">
        <f>0.001*BA90/('1a. Spredningsmodell input'!$C$25+'1a. Spredningsmodell input'!$C$26/Mellomregninger!$K90)</f>
        <v>#VALUE!</v>
      </c>
      <c r="BC90" s="294" t="e">
        <f>1000*BB90/$K90+AZ90*1000000000/('1a. Spredningsmodell input'!$B$45*1000)</f>
        <v>#VALUE!</v>
      </c>
      <c r="BD90" s="294" t="e">
        <f t="shared" si="38"/>
        <v>#VALUE!</v>
      </c>
      <c r="BE90" s="294" t="e">
        <f>AZ90*1000000000/('1a. Spredningsmodell input'!$B$45*1000)</f>
        <v>#VALUE!</v>
      </c>
      <c r="BF90" s="295">
        <f t="shared" si="39"/>
        <v>20</v>
      </c>
      <c r="BG90" s="290" t="e">
        <f>($D90-Stoff!$P90*$D90)*EXP(-($F90+Stoff!$L90*365)*BF90)</f>
        <v>#VALUE!</v>
      </c>
      <c r="BH90" s="291" t="e">
        <f>(Stoff!$P90*$D90)*EXP(-'1a. Spredningsmodell input'!$B$43*BF90)</f>
        <v>#VALUE!</v>
      </c>
      <c r="BI90" s="290" t="e">
        <f>($D90-Stoff!$P90*$D90-BG90)*($F90/($F90+Stoff!$L90*365))</f>
        <v>#VALUE!</v>
      </c>
      <c r="BJ90" s="290" t="e">
        <f>(Stoff!$P90*$D90)-BH90</f>
        <v>#VALUE!</v>
      </c>
      <c r="BK90" s="290" t="e">
        <f>($O90+BI90)*EXP(-($N90+Stoff!$M90*365)*BF90)</f>
        <v>#VALUE!</v>
      </c>
      <c r="BL90" s="290" t="e">
        <f>(Stoff!$P90*$O90+BJ90)*EXP(-('1a. Spredningsmodell input'!$B$46)*BF90)</f>
        <v>#VALUE!</v>
      </c>
      <c r="BM90" s="292" t="e">
        <f>((BK90+BL90)*1000000000)/('1a. Spredningsmodell input'!$B$45*1000)</f>
        <v>#VALUE!</v>
      </c>
      <c r="BN90" s="294" t="e">
        <f>0.001*BM90/('1a. Spredningsmodell input'!$C$25+'1a. Spredningsmodell input'!$C$26/Mellomregninger!$K90)</f>
        <v>#VALUE!</v>
      </c>
      <c r="BO90" s="294" t="e">
        <f>1000*BN90/$K90+BL90*1000000000/('1a. Spredningsmodell input'!$B$45*1000)</f>
        <v>#VALUE!</v>
      </c>
      <c r="BP90" s="294" t="e">
        <f t="shared" si="40"/>
        <v>#VALUE!</v>
      </c>
      <c r="BQ90" s="294" t="e">
        <f>BL90*1000000000/('1a. Spredningsmodell input'!$B$45*1000)</f>
        <v>#VALUE!</v>
      </c>
      <c r="BR90" s="295">
        <f t="shared" si="41"/>
        <v>100</v>
      </c>
      <c r="BS90" s="290" t="e">
        <f>($D90-Stoff!$P90*$D90)*EXP(-($F90+Stoff!$L90*365)*BR90)</f>
        <v>#VALUE!</v>
      </c>
      <c r="BT90" s="291" t="e">
        <f>(Stoff!$P90*$D90)*EXP(-'1a. Spredningsmodell input'!$B$43*BR90)</f>
        <v>#VALUE!</v>
      </c>
      <c r="BU90" s="290" t="e">
        <f>($D90-Stoff!$P90*$D90-BS90)*($F90/($F90+Stoff!$L90*365))</f>
        <v>#VALUE!</v>
      </c>
      <c r="BV90" s="290" t="e">
        <f>(Stoff!$P90*$D90)-BT90</f>
        <v>#VALUE!</v>
      </c>
      <c r="BW90" s="290" t="e">
        <f>($O90+BU90)*EXP(-($N90+Stoff!$M90*365)*BR90)</f>
        <v>#VALUE!</v>
      </c>
      <c r="BX90" s="290" t="e">
        <f>(Stoff!$P90*$O90+BV90)*EXP(-('1a. Spredningsmodell input'!$B$46)*BR90)</f>
        <v>#VALUE!</v>
      </c>
      <c r="BY90" s="292" t="e">
        <f>((BW90+BX90)*1000000000)/('1a. Spredningsmodell input'!$B$45*1000)</f>
        <v>#VALUE!</v>
      </c>
      <c r="BZ90" s="294" t="e">
        <f>0.001*BY90/('1a. Spredningsmodell input'!$C$25+'1a. Spredningsmodell input'!$C$26/Mellomregninger!$K90)</f>
        <v>#VALUE!</v>
      </c>
      <c r="CA90" s="294" t="e">
        <f>1000*BZ90/$K90+BX90*1000000000/('1a. Spredningsmodell input'!$B$45*1000)</f>
        <v>#VALUE!</v>
      </c>
      <c r="CB90" s="294" t="e">
        <f t="shared" si="42"/>
        <v>#VALUE!</v>
      </c>
      <c r="CC90" s="294" t="e">
        <f>BX90*1000000000/('1a. Spredningsmodell input'!$B$45*1000)</f>
        <v>#VALUE!</v>
      </c>
      <c r="CD90" s="294" t="e">
        <f>V90+'1a. Spredningsmodell input'!$C$35</f>
        <v>#VALUE!</v>
      </c>
      <c r="CE90" s="294" t="e">
        <f>($S90+$Q90*($O90+$I90*($D90*(1-Stoff!$P90))*(1-EXP(-($F90+Stoff!$L90*365)*CD90)))*(1-EXP(-($N90+Stoff!$M90*365)*CD90)))</f>
        <v>#VALUE!</v>
      </c>
      <c r="CF90" s="294" t="e">
        <f t="shared" si="43"/>
        <v>#VALUE!</v>
      </c>
      <c r="CG90" s="296" t="e">
        <f>(CF90/1000000)*'1a. Spredningsmodell input'!$B$49*'1a. Spredningsmodell input'!$C$35</f>
        <v>#VALUE!</v>
      </c>
      <c r="CH90" s="294" t="e">
        <f t="shared" si="44"/>
        <v>#VALUE!</v>
      </c>
      <c r="CI90" s="290" t="e">
        <f>(CH90/1000000)*'1a. Spredningsmodell input'!$B$49*'1a. Spredningsmodell input'!$C$35</f>
        <v>#VALUE!</v>
      </c>
      <c r="CJ90" s="297" t="e">
        <f>($S90)*EXP(-(Stoff!$N90*365+$U90)*CD90)+CG90</f>
        <v>#VALUE!</v>
      </c>
      <c r="CK90" s="297" t="e">
        <f>(Stoff!$P90*$S90+CI90)*EXP(-$T90*CD90)</f>
        <v>#VALUE!</v>
      </c>
      <c r="CL90" s="297" t="e">
        <f>(CJ90+CK90)*1000000000/('1a. Spredningsmodell input'!$C$36*1000)</f>
        <v>#VALUE!</v>
      </c>
      <c r="CM90" s="297" t="e">
        <f>$G90*(1-EXP(-'1a. Spredningsmodell input'!$B$43*Mellomregninger!CD90))*(1-EXP(-'1a. Spredningsmodell input'!$B$46*Mellomregninger!CD90))</f>
        <v>#VALUE!</v>
      </c>
      <c r="CN90" s="297"/>
      <c r="CO90" s="297"/>
      <c r="CP90" s="290">
        <f>IF(ISNUMBER(AH90),AH90+'1a. Spredningsmodell input'!$C$35,'1a. Spredningsmodell input'!$C$35)</f>
        <v>1</v>
      </c>
      <c r="CQ90" s="294" t="e">
        <f>($S90+$Q90*($O90+$I90*($D90*(1-Stoff!$P90))*(1-EXP(-($F90+Stoff!$L90*365)*CP90)))*(1-EXP(-($N90+Stoff!$M90*365)*CP90)))</f>
        <v>#VALUE!</v>
      </c>
      <c r="CR90" s="294" t="e">
        <f t="shared" si="45"/>
        <v>#VALUE!</v>
      </c>
      <c r="CS90" s="296" t="e">
        <f>(CR90/1000000)*('1a. Spredningsmodell input'!$B$49*'1a. Spredningsmodell input'!$C$35)</f>
        <v>#VALUE!</v>
      </c>
      <c r="CT90" s="294" t="e">
        <f t="shared" si="46"/>
        <v>#VALUE!</v>
      </c>
      <c r="CU90" s="290" t="e">
        <f>(CT90/1000000)*('1a. Spredningsmodell input'!$B$49)*'1a. Spredningsmodell input'!$C$35</f>
        <v>#VALUE!</v>
      </c>
      <c r="CV90" s="297" t="e">
        <f>($S90)*EXP(-(Stoff!$N90*365+$U90)*CP90)+CS90</f>
        <v>#VALUE!</v>
      </c>
      <c r="CW90" s="297" t="e">
        <f>(Stoff!$P90*$S90+CU90)*EXP(-$T90*CP90)</f>
        <v>#VALUE!</v>
      </c>
      <c r="CX90" s="297">
        <f>IF(ISERROR(CV90),0,(CV90+CW90)*1000000000/('1a. Spredningsmodell input'!$C$36*1000))</f>
        <v>0</v>
      </c>
      <c r="CY90" s="297" t="e">
        <f>$G90*(1-EXP(-'1a. Spredningsmodell input'!$B$43*Mellomregninger!CP90))*(1-EXP(-'1a. Spredningsmodell input'!$B$46*Mellomregninger!CP90))</f>
        <v>#VALUE!</v>
      </c>
      <c r="CZ90" s="297"/>
      <c r="DA90" s="297"/>
      <c r="DB90" s="262">
        <f t="shared" si="47"/>
        <v>5</v>
      </c>
      <c r="DC90" s="298" t="e">
        <f>($S90+$Q90*($O90+$I90*($D90*(1-Stoff!$P90))*(1-EXP(-($F90+Stoff!$L90*365)*DB90)))*(1-EXP(-($N90+Stoff!$M90*365)*DB90)))</f>
        <v>#VALUE!</v>
      </c>
      <c r="DD90" s="294" t="e">
        <f t="shared" si="48"/>
        <v>#VALUE!</v>
      </c>
      <c r="DE90" s="296" t="e">
        <f>(DD90/1000000)*('1a. Spredningsmodell input'!$B$49)*'1a. Spredningsmodell input'!$C$35</f>
        <v>#VALUE!</v>
      </c>
      <c r="DF90" s="294" t="e">
        <f t="shared" si="49"/>
        <v>#VALUE!</v>
      </c>
      <c r="DG90" s="290" t="e">
        <f>(DF90/1000000)*('1a. Spredningsmodell input'!$B$49)*'1a. Spredningsmodell input'!$C$35</f>
        <v>#VALUE!</v>
      </c>
      <c r="DH90" s="297" t="e">
        <f>($S90)*EXP(-(Stoff!$N90*365+$U90)*DB90)+DE90</f>
        <v>#VALUE!</v>
      </c>
      <c r="DI90" s="297" t="e">
        <f>(Stoff!$P90*$S90+DG90)*EXP(-$T90*DB90)</f>
        <v>#VALUE!</v>
      </c>
      <c r="DJ90" s="297" t="e">
        <f>(DH90+DI90)*1000000000/('1a. Spredningsmodell input'!$C$36*1000)</f>
        <v>#VALUE!</v>
      </c>
      <c r="DK90" s="297" t="e">
        <f>$G90*(1-EXP(-'1a. Spredningsmodell input'!$B$43*Mellomregninger!DB90))*(1-EXP(-'1a. Spredningsmodell input'!$B$46*Mellomregninger!DB90))</f>
        <v>#VALUE!</v>
      </c>
      <c r="DL90" s="297"/>
      <c r="DM90" s="297"/>
      <c r="DN90" s="262">
        <f t="shared" si="50"/>
        <v>20</v>
      </c>
      <c r="DO90" s="298" t="e">
        <f>($S90+$Q90*($O90+$I90*($D90*(1-Stoff!$P90))*(1-EXP(-($F90+Stoff!$L90*365)*DN90)))*(1-EXP(-($N90+Stoff!$M90*365)*DN90)))</f>
        <v>#VALUE!</v>
      </c>
      <c r="DP90" s="294" t="e">
        <f t="shared" si="51"/>
        <v>#VALUE!</v>
      </c>
      <c r="DQ90" s="296" t="e">
        <f>(DP90/1000000)*('1a. Spredningsmodell input'!$B$49)*'1a. Spredningsmodell input'!$C$35</f>
        <v>#VALUE!</v>
      </c>
      <c r="DR90" s="294" t="e">
        <f t="shared" si="52"/>
        <v>#VALUE!</v>
      </c>
      <c r="DS90" s="290" t="e">
        <f>(DR90/1000000)*('1a. Spredningsmodell input'!$B$49)*'1a. Spredningsmodell input'!$C$35</f>
        <v>#VALUE!</v>
      </c>
      <c r="DT90" s="297" t="e">
        <f>($S90)*EXP(-(Stoff!$N90*365+$U90)*DN90)+DQ90</f>
        <v>#VALUE!</v>
      </c>
      <c r="DU90" s="297" t="e">
        <f>(Stoff!$P90*$S90+DS90)*EXP(-$T90*DN90)</f>
        <v>#VALUE!</v>
      </c>
      <c r="DV90" s="297" t="e">
        <f>(DT90+DU90)*1000000000/('1a. Spredningsmodell input'!$C$36*1000)</f>
        <v>#VALUE!</v>
      </c>
      <c r="DW90" s="297" t="e">
        <f>$G90*(1-EXP(-'1a. Spredningsmodell input'!$B$43*Mellomregninger!DN90))*(1-EXP(-'1a. Spredningsmodell input'!$B$46*Mellomregninger!DN90))</f>
        <v>#VALUE!</v>
      </c>
      <c r="DX90" s="297"/>
      <c r="DY90" s="297"/>
      <c r="DZ90" s="262">
        <f t="shared" si="53"/>
        <v>100</v>
      </c>
      <c r="EA90" s="298" t="e">
        <f>($S90+$Q90*($O90+$I90*($D90*(1-Stoff!$P90))*(1-EXP(-($F90+Stoff!$L90*365)*DZ90)))*(1-EXP(-($N90+Stoff!$M90*365)*DZ90)))</f>
        <v>#VALUE!</v>
      </c>
      <c r="EB90" s="294" t="e">
        <f t="shared" si="54"/>
        <v>#VALUE!</v>
      </c>
      <c r="EC90" s="296" t="e">
        <f>(EB90/1000000)*('1a. Spredningsmodell input'!$B$49)*'1a. Spredningsmodell input'!$C$35</f>
        <v>#VALUE!</v>
      </c>
      <c r="ED90" s="294" t="e">
        <f t="shared" si="55"/>
        <v>#VALUE!</v>
      </c>
      <c r="EE90" s="290" t="e">
        <f>(ED90/1000000)*('1a. Spredningsmodell input'!$B$49)*'1a. Spredningsmodell input'!$C$35</f>
        <v>#VALUE!</v>
      </c>
      <c r="EF90" s="297" t="e">
        <f>($S90)*EXP(-(Stoff!$N90*365+$U90)*DZ90)+EC90</f>
        <v>#VALUE!</v>
      </c>
      <c r="EG90" s="297" t="e">
        <f>(Stoff!$P90*$S90+EE90)*EXP(-$T90*DZ90)</f>
        <v>#VALUE!</v>
      </c>
      <c r="EH90" s="297" t="e">
        <f>(EF90+EG90)*1000000000/('1a. Spredningsmodell input'!$C$36*1000)</f>
        <v>#VALUE!</v>
      </c>
      <c r="EI90" s="297" t="e">
        <f>$G90*(1-EXP(-'1a. Spredningsmodell input'!$B$43*Mellomregninger!DZ90))*(1-EXP(-'1a. Spredningsmodell input'!$B$46*Mellomregninger!DZ90))</f>
        <v>#VALUE!</v>
      </c>
      <c r="EJ90" s="297"/>
      <c r="EK90" s="297"/>
      <c r="EL90" s="262">
        <f t="shared" si="56"/>
        <v>1.0000000000000001E+25</v>
      </c>
      <c r="EM90" s="294" t="e">
        <f>($S90+$Q90*($O90+$I90*($D90*(1-Stoff!$P90))*(1-EXP(-($F90+Stoff!$L90*365)*EL90)))*(1-EXP(-($N90+Stoff!$M90*365)*EL90)))</f>
        <v>#VALUE!</v>
      </c>
      <c r="EN90" s="296" t="e">
        <f>($S90+$Q90*($O90+$I90*($D90*(1-Stoff!$P90))*(1-EXP(-($F90+Stoff!$L90*365)*(EL90-'1a. Spredningsmodell input'!$C$35))))*(1-EXP(-($N90+Stoff!$M90*365)*(EL90-'1a. Spredningsmodell input'!$C$35))))</f>
        <v>#VALUE!</v>
      </c>
      <c r="EO90" s="294" t="e">
        <f>IF(EL90&lt;'1a. Spredningsmodell input'!$C$35,EM90-($S90)*EXP(-(Stoff!$N90*365+$U90)*EL90),EM90-EN90)</f>
        <v>#VALUE!</v>
      </c>
      <c r="EP90" s="290" t="e">
        <f>((($D90*(Stoff!$P90))*(1-EXP(-'1a. Spredningsmodell input'!$B$43*EL90)))*(1-EXP(-'1a. Spredningsmodell input'!$B$46*EL90)))</f>
        <v>#VALUE!</v>
      </c>
      <c r="EQ90" s="294" t="e">
        <f>((($D90*(Stoff!$P90))*(1-EXP(-'1a. Spredningsmodell input'!$B$43*(EL90-'1a. Spredningsmodell input'!$C$35))))*(1-EXP(-'1a. Spredningsmodell input'!$B$46*(EL90-'1a. Spredningsmodell input'!$C$35))))</f>
        <v>#VALUE!</v>
      </c>
      <c r="ER90" s="290" t="e">
        <f>IF(EL90&lt;'1a. Spredningsmodell input'!$C$35,0,EP90-EQ90)</f>
        <v>#VALUE!</v>
      </c>
      <c r="ES90" s="297" t="e">
        <f>($S90)*EXP(-(Stoff!$N90*365+$U90)*EL90)+EO90</f>
        <v>#VALUE!</v>
      </c>
      <c r="ET90" s="297" t="e">
        <f>(Stoff!$P90*$S90+ER90)*EXP(-$T90*EL90)</f>
        <v>#VALUE!</v>
      </c>
      <c r="EU90" s="297" t="e">
        <f>(ES90+ET90)*1000000000/('1a. Spredningsmodell input'!$C$36*1000)</f>
        <v>#VALUE!</v>
      </c>
      <c r="EV90" s="262" t="e">
        <f t="shared" si="57"/>
        <v>#VALUE!</v>
      </c>
      <c r="EW90" s="299" t="e">
        <f t="shared" si="58"/>
        <v>#VALUE!</v>
      </c>
      <c r="EX90" s="262" t="e">
        <f t="shared" si="59"/>
        <v>#VALUE!</v>
      </c>
    </row>
    <row r="91" spans="1:154" x14ac:dyDescent="0.35">
      <c r="A91" s="301" t="str">
        <f>Stoff!A91</f>
        <v>nystoff 5</v>
      </c>
      <c r="B91" s="34" t="str">
        <f>IF(ISNUMBER('1c. Kons. porevann'!E91),1000*'1c. Kons. porevann'!E91,IF(ISNUMBER('1b. Kons. umettet jord'!E91),1000*'1b. Kons. umettet jord'!E91/C91,""))</f>
        <v/>
      </c>
      <c r="C91" s="244">
        <f>IF(Stoff!B91="uorganisk",Stoff!C91,Stoff!D91*'1a. Spredningsmodell input'!$C$11)</f>
        <v>0</v>
      </c>
      <c r="D91" s="34" t="str">
        <f>IF(ISNUMBER(B91),0.000001*('1b. Kons. umettet jord'!G91*'1a. Spredningsmodell input'!$C$12+B91*0.001*'1a. Spredningsmodell input'!$C$14)*1000*'1a. Spredningsmodell input'!$B$41*'1a. Spredningsmodell input'!$C$18,"")</f>
        <v/>
      </c>
      <c r="E91" s="283">
        <f>C91*'1a. Spredningsmodell input'!$C$12/'1a. Spredningsmodell input'!$C$14+1</f>
        <v>1</v>
      </c>
      <c r="F91" s="284">
        <f>'1a. Spredningsmodell input'!$B$43/E91</f>
        <v>1.4999999999999998</v>
      </c>
      <c r="G91" s="34" t="e">
        <f>Stoff!P91*Mellomregninger!D91</f>
        <v>#VALUE!</v>
      </c>
      <c r="H91" s="283" t="e">
        <f>(D91-G91)*(F91/(F91+Stoff!L91))</f>
        <v>#VALUE!</v>
      </c>
      <c r="I91" s="283">
        <f>F91/(F91+Stoff!L91)</f>
        <v>1</v>
      </c>
      <c r="J91" s="285" t="str">
        <f>IF(B91="","",IF(ISNUMBER('1d. Kons. mettet sone'!E91),'1d. Kons. mettet sone'!E91,IF(ISNUMBER('1e. Kons. grunnvann'!E91),'1e. Kons. grunnvann'!E91*Mellomregninger!K91,0)))</f>
        <v/>
      </c>
      <c r="K91" s="286">
        <f>IF(Stoff!B91="uorganisk",Stoff!C91,Stoff!D91*'1a. Spredningsmodell input'!$C$24)</f>
        <v>0</v>
      </c>
      <c r="L91" s="27" t="e">
        <f>IF(ISNUMBER('1e. Kons. grunnvann'!E91),1000*'1e. Kons. grunnvann'!E91,1000*J91/K91)</f>
        <v>#VALUE!</v>
      </c>
      <c r="M91" s="34">
        <f>K91*'1a. Spredningsmodell input'!$C$25/'1a. Spredningsmodell input'!$C$26+1</f>
        <v>1</v>
      </c>
      <c r="N91" s="284">
        <f>'1a. Spredningsmodell input'!$C$26/M91</f>
        <v>0.4</v>
      </c>
      <c r="O91" s="287" t="e">
        <f>0.000000001*(J91*'1a. Spredningsmodell input'!$C$25+L91)*1000*'1a. Spredningsmodell input'!$B$45</f>
        <v>#VALUE!</v>
      </c>
      <c r="P91" s="287" t="e">
        <f>O91*Stoff!P91</f>
        <v>#VALUE!</v>
      </c>
      <c r="Q91" s="287">
        <f>N91/(N91+Stoff!M91)</f>
        <v>1</v>
      </c>
      <c r="R91" s="288">
        <f>IF(ISNUMBER('1f. Kons. resipient'!E91),'1f. Kons. resipient'!E91,0)</f>
        <v>0</v>
      </c>
      <c r="S91" s="288">
        <f>0.000000001*'1a. Spredningsmodell input'!$C$36*R91*1000</f>
        <v>0</v>
      </c>
      <c r="T91" s="288">
        <f>1/'1a. Spredningsmodell input'!$C$35</f>
        <v>1</v>
      </c>
      <c r="U91" s="288">
        <f>1/'1a. Spredningsmodell input'!$C$35</f>
        <v>1</v>
      </c>
      <c r="V91" s="300" t="e">
        <f>(1/($N91+Stoff!$L91))*(LN(($D91*$I91/($D91*$I91+$J91))*($F91+Stoff!$L91+$N91+Stoff!$M91)/($N91+Stoff!$M91)))</f>
        <v>#VALUE!</v>
      </c>
      <c r="W91" s="290" t="e">
        <f>($D91-Stoff!$P91*$D91)*EXP(-($F91+Stoff!$L91*365)*V91)</f>
        <v>#VALUE!</v>
      </c>
      <c r="X91" s="291" t="e">
        <f>(Stoff!$P91*$D91)*EXP(-'1a. Spredningsmodell input'!$B$43*V91)</f>
        <v>#VALUE!</v>
      </c>
      <c r="Y91" s="290" t="e">
        <f>($D91-Stoff!$P91*$D91-W91)*($F91/($F91+Stoff!$L91*365))</f>
        <v>#VALUE!</v>
      </c>
      <c r="Z91" s="290" t="e">
        <f>(Stoff!$P91*$D91)-X91</f>
        <v>#VALUE!</v>
      </c>
      <c r="AA91" s="290" t="e">
        <f>($O91+Y91)*EXP(-($N91+Stoff!$M91*365)*V91)</f>
        <v>#VALUE!</v>
      </c>
      <c r="AB91" s="290" t="e">
        <f>(Stoff!$P91*$O91+Z91)*EXP(-('1a. Spredningsmodell input'!$B$46)*V91)</f>
        <v>#VALUE!</v>
      </c>
      <c r="AC91" s="292" t="e">
        <f>((AA91+AB91)*1000000000)/('1a. Spredningsmodell input'!$B$45*1000)</f>
        <v>#VALUE!</v>
      </c>
      <c r="AD91" s="294" t="e">
        <f>0.001*AC91/('1a. Spredningsmodell input'!$C$25+'1a. Spredningsmodell input'!$C$26/Mellomregninger!$K91)</f>
        <v>#VALUE!</v>
      </c>
      <c r="AE91" s="294" t="e">
        <f>1000*AD91/$K91+AB91*1000000000/('1a. Spredningsmodell input'!$B$45*1000)</f>
        <v>#VALUE!</v>
      </c>
      <c r="AF91" s="294" t="e">
        <f t="shared" si="35"/>
        <v>#VALUE!</v>
      </c>
      <c r="AG91" s="294" t="e">
        <f>AB91*1000000000/('1a. Spredningsmodell input'!$B$45*1000)</f>
        <v>#VALUE!</v>
      </c>
      <c r="AH91" s="300" t="e">
        <f>(1/('1a. Spredningsmodell input'!$B$46))*(LN(($D91*Stoff!$P91/($D91*Stoff!$P91+$P91*Stoff!$P91))*('1a. Spredningsmodell input'!$B$43+'1a. Spredningsmodell input'!$B$46)/('1a. Spredningsmodell input'!$B$46)))</f>
        <v>#VALUE!</v>
      </c>
      <c r="AI91" s="290" t="e">
        <f>($D91-Stoff!$P91*$D91)*EXP(-($F91+Stoff!$L91*365)*AH91)</f>
        <v>#VALUE!</v>
      </c>
      <c r="AJ91" s="291" t="e">
        <f>(Stoff!$P91*$D91)*EXP(-'1a. Spredningsmodell input'!$B$43*AH91)</f>
        <v>#VALUE!</v>
      </c>
      <c r="AK91" s="290" t="e">
        <f>($D91-Stoff!$P91*$D91-AI91)*($F91/($F91+Stoff!$L91*365))</f>
        <v>#VALUE!</v>
      </c>
      <c r="AL91" s="290" t="e">
        <f>(Stoff!$P91*$D91)-AJ91</f>
        <v>#VALUE!</v>
      </c>
      <c r="AM91" s="290" t="e">
        <f>($O91+AK91)*EXP(-($N91+Stoff!$M91*365)*AH91)</f>
        <v>#VALUE!</v>
      </c>
      <c r="AN91" s="290" t="e">
        <f>(Stoff!$P91*$O91+AL91)*EXP(-('1a. Spredningsmodell input'!$B$46)*AH91)</f>
        <v>#VALUE!</v>
      </c>
      <c r="AO91" s="292" t="e">
        <f>((AM91+AN91)*1000000000)/('1a. Spredningsmodell input'!$B$45*1000)</f>
        <v>#VALUE!</v>
      </c>
      <c r="AP91" s="294" t="e">
        <f>0.001*AO91/('1a. Spredningsmodell input'!$C$25+'1a. Spredningsmodell input'!$C$26/Mellomregninger!$K91)</f>
        <v>#VALUE!</v>
      </c>
      <c r="AQ91" s="294" t="e">
        <f>1000*AP91/$K91+AN91*1000000000/('1a. Spredningsmodell input'!$B$45*1000)</f>
        <v>#VALUE!</v>
      </c>
      <c r="AR91" s="294" t="e">
        <f t="shared" si="36"/>
        <v>#VALUE!</v>
      </c>
      <c r="AS91" s="294" t="e">
        <f>AN91*1000000000/('1a. Spredningsmodell input'!$B$45*1000)</f>
        <v>#VALUE!</v>
      </c>
      <c r="AT91" s="295">
        <f t="shared" si="37"/>
        <v>5</v>
      </c>
      <c r="AU91" s="290" t="e">
        <f>($D91-Stoff!$P91*$D91)*EXP(-($F91+Stoff!$L91*365)*AT91)</f>
        <v>#VALUE!</v>
      </c>
      <c r="AV91" s="291" t="e">
        <f>(Stoff!$P91*$D91)*EXP(-'1a. Spredningsmodell input'!$B$43*AT91)</f>
        <v>#VALUE!</v>
      </c>
      <c r="AW91" s="290" t="e">
        <f>($D91-Stoff!$P91*$D91-AU91)*($F91/($F91+Stoff!$L91*365))</f>
        <v>#VALUE!</v>
      </c>
      <c r="AX91" s="290" t="e">
        <f>(Stoff!$P91*$D91)-AV91</f>
        <v>#VALUE!</v>
      </c>
      <c r="AY91" s="290" t="e">
        <f>($O91+AW91)*EXP(-($N91+Stoff!$M91*365)*AT91)</f>
        <v>#VALUE!</v>
      </c>
      <c r="AZ91" s="290" t="e">
        <f>(Stoff!$P91*$O91+AX91)*EXP(-('1a. Spredningsmodell input'!$B$46)*AT91)</f>
        <v>#VALUE!</v>
      </c>
      <c r="BA91" s="292" t="e">
        <f>((AY91+AZ91)*1000000000)/('1a. Spredningsmodell input'!$B$45*1000)</f>
        <v>#VALUE!</v>
      </c>
      <c r="BB91" s="294" t="e">
        <f>0.001*BA91/('1a. Spredningsmodell input'!$C$25+'1a. Spredningsmodell input'!$C$26/Mellomregninger!$K91)</f>
        <v>#VALUE!</v>
      </c>
      <c r="BC91" s="294" t="e">
        <f>1000*BB91/$K91+AZ91*1000000000/('1a. Spredningsmodell input'!$B$45*1000)</f>
        <v>#VALUE!</v>
      </c>
      <c r="BD91" s="294" t="e">
        <f t="shared" si="38"/>
        <v>#VALUE!</v>
      </c>
      <c r="BE91" s="294" t="e">
        <f>AZ91*1000000000/('1a. Spredningsmodell input'!$B$45*1000)</f>
        <v>#VALUE!</v>
      </c>
      <c r="BF91" s="295">
        <f t="shared" si="39"/>
        <v>20</v>
      </c>
      <c r="BG91" s="290" t="e">
        <f>($D91-Stoff!$P91*$D91)*EXP(-($F91+Stoff!$L91*365)*BF91)</f>
        <v>#VALUE!</v>
      </c>
      <c r="BH91" s="291" t="e">
        <f>(Stoff!$P91*$D91)*EXP(-'1a. Spredningsmodell input'!$B$43*BF91)</f>
        <v>#VALUE!</v>
      </c>
      <c r="BI91" s="290" t="e">
        <f>($D91-Stoff!$P91*$D91-BG91)*($F91/($F91+Stoff!$L91*365))</f>
        <v>#VALUE!</v>
      </c>
      <c r="BJ91" s="290" t="e">
        <f>(Stoff!$P91*$D91)-BH91</f>
        <v>#VALUE!</v>
      </c>
      <c r="BK91" s="290" t="e">
        <f>($O91+BI91)*EXP(-($N91+Stoff!$M91*365)*BF91)</f>
        <v>#VALUE!</v>
      </c>
      <c r="BL91" s="290" t="e">
        <f>(Stoff!$P91*$O91+BJ91)*EXP(-('1a. Spredningsmodell input'!$B$46)*BF91)</f>
        <v>#VALUE!</v>
      </c>
      <c r="BM91" s="292" t="e">
        <f>((BK91+BL91)*1000000000)/('1a. Spredningsmodell input'!$B$45*1000)</f>
        <v>#VALUE!</v>
      </c>
      <c r="BN91" s="294" t="e">
        <f>0.001*BM91/('1a. Spredningsmodell input'!$C$25+'1a. Spredningsmodell input'!$C$26/Mellomregninger!$K91)</f>
        <v>#VALUE!</v>
      </c>
      <c r="BO91" s="294" t="e">
        <f>1000*BN91/$K91+BL91*1000000000/('1a. Spredningsmodell input'!$B$45*1000)</f>
        <v>#VALUE!</v>
      </c>
      <c r="BP91" s="294" t="e">
        <f t="shared" si="40"/>
        <v>#VALUE!</v>
      </c>
      <c r="BQ91" s="294" t="e">
        <f>BL91*1000000000/('1a. Spredningsmodell input'!$B$45*1000)</f>
        <v>#VALUE!</v>
      </c>
      <c r="BR91" s="295">
        <f t="shared" si="41"/>
        <v>100</v>
      </c>
      <c r="BS91" s="290" t="e">
        <f>($D91-Stoff!$P91*$D91)*EXP(-($F91+Stoff!$L91*365)*BR91)</f>
        <v>#VALUE!</v>
      </c>
      <c r="BT91" s="291" t="e">
        <f>(Stoff!$P91*$D91)*EXP(-'1a. Spredningsmodell input'!$B$43*BR91)</f>
        <v>#VALUE!</v>
      </c>
      <c r="BU91" s="290" t="e">
        <f>($D91-Stoff!$P91*$D91-BS91)*($F91/($F91+Stoff!$L91*365))</f>
        <v>#VALUE!</v>
      </c>
      <c r="BV91" s="290" t="e">
        <f>(Stoff!$P91*$D91)-BT91</f>
        <v>#VALUE!</v>
      </c>
      <c r="BW91" s="290" t="e">
        <f>($O91+BU91)*EXP(-($N91+Stoff!$M91*365)*BR91)</f>
        <v>#VALUE!</v>
      </c>
      <c r="BX91" s="290" t="e">
        <f>(Stoff!$P91*$O91+BV91)*EXP(-('1a. Spredningsmodell input'!$B$46)*BR91)</f>
        <v>#VALUE!</v>
      </c>
      <c r="BY91" s="292" t="e">
        <f>((BW91+BX91)*1000000000)/('1a. Spredningsmodell input'!$B$45*1000)</f>
        <v>#VALUE!</v>
      </c>
      <c r="BZ91" s="294" t="e">
        <f>0.001*BY91/('1a. Spredningsmodell input'!$C$25+'1a. Spredningsmodell input'!$C$26/Mellomregninger!$K91)</f>
        <v>#VALUE!</v>
      </c>
      <c r="CA91" s="294" t="e">
        <f>1000*BZ91/$K91+BX91*1000000000/('1a. Spredningsmodell input'!$B$45*1000)</f>
        <v>#VALUE!</v>
      </c>
      <c r="CB91" s="294" t="e">
        <f t="shared" si="42"/>
        <v>#VALUE!</v>
      </c>
      <c r="CC91" s="294" t="e">
        <f>BX91*1000000000/('1a. Spredningsmodell input'!$B$45*1000)</f>
        <v>#VALUE!</v>
      </c>
      <c r="CD91" s="294" t="e">
        <f>V91+'1a. Spredningsmodell input'!$C$35</f>
        <v>#VALUE!</v>
      </c>
      <c r="CE91" s="294" t="e">
        <f>($S91+$Q91*($O91+$I91*($D91*(1-Stoff!$P91))*(1-EXP(-($F91+Stoff!$L91*365)*CD91)))*(1-EXP(-($N91+Stoff!$M91*365)*CD91)))</f>
        <v>#VALUE!</v>
      </c>
      <c r="CF91" s="294" t="e">
        <f t="shared" si="43"/>
        <v>#VALUE!</v>
      </c>
      <c r="CG91" s="296" t="e">
        <f>(CF91/1000000)*'1a. Spredningsmodell input'!$B$49*'1a. Spredningsmodell input'!$C$35</f>
        <v>#VALUE!</v>
      </c>
      <c r="CH91" s="294" t="e">
        <f t="shared" si="44"/>
        <v>#VALUE!</v>
      </c>
      <c r="CI91" s="290" t="e">
        <f>(CH91/1000000)*'1a. Spredningsmodell input'!$B$49*'1a. Spredningsmodell input'!$C$35</f>
        <v>#VALUE!</v>
      </c>
      <c r="CJ91" s="297" t="e">
        <f>($S91)*EXP(-(Stoff!$N91*365+$U91)*CD91)+CG91</f>
        <v>#VALUE!</v>
      </c>
      <c r="CK91" s="297" t="e">
        <f>(Stoff!$P91*$S91+CI91)*EXP(-$T91*CD91)</f>
        <v>#VALUE!</v>
      </c>
      <c r="CL91" s="297" t="e">
        <f>(CJ91+CK91)*1000000000/('1a. Spredningsmodell input'!$C$36*1000)</f>
        <v>#VALUE!</v>
      </c>
      <c r="CM91" s="297" t="e">
        <f>$G91*(1-EXP(-'1a. Spredningsmodell input'!$B$43*Mellomregninger!CD91))*(1-EXP(-'1a. Spredningsmodell input'!$B$46*Mellomregninger!CD91))</f>
        <v>#VALUE!</v>
      </c>
      <c r="CN91" s="297"/>
      <c r="CO91" s="297"/>
      <c r="CP91" s="290">
        <f>IF(ISNUMBER(AH91),AH91+'1a. Spredningsmodell input'!$C$35,'1a. Spredningsmodell input'!$C$35)</f>
        <v>1</v>
      </c>
      <c r="CQ91" s="294" t="e">
        <f>($S91+$Q91*($O91+$I91*($D91*(1-Stoff!$P91))*(1-EXP(-($F91+Stoff!$L91*365)*CP91)))*(1-EXP(-($N91+Stoff!$M91*365)*CP91)))</f>
        <v>#VALUE!</v>
      </c>
      <c r="CR91" s="294" t="e">
        <f t="shared" si="45"/>
        <v>#VALUE!</v>
      </c>
      <c r="CS91" s="296" t="e">
        <f>(CR91/1000000)*('1a. Spredningsmodell input'!$B$49*'1a. Spredningsmodell input'!$C$35)</f>
        <v>#VALUE!</v>
      </c>
      <c r="CT91" s="294" t="e">
        <f t="shared" si="46"/>
        <v>#VALUE!</v>
      </c>
      <c r="CU91" s="290" t="e">
        <f>(CT91/1000000)*('1a. Spredningsmodell input'!$B$49)*'1a. Spredningsmodell input'!$C$35</f>
        <v>#VALUE!</v>
      </c>
      <c r="CV91" s="297" t="e">
        <f>($S91)*EXP(-(Stoff!$N91*365+$U91)*CP91)+CS91</f>
        <v>#VALUE!</v>
      </c>
      <c r="CW91" s="297" t="e">
        <f>(Stoff!$P91*$S91+CU91)*EXP(-$T91*CP91)</f>
        <v>#VALUE!</v>
      </c>
      <c r="CX91" s="297">
        <f>IF(ISERROR(CV91),0,(CV91+CW91)*1000000000/('1a. Spredningsmodell input'!$C$36*1000))</f>
        <v>0</v>
      </c>
      <c r="CY91" s="297" t="e">
        <f>$G91*(1-EXP(-'1a. Spredningsmodell input'!$B$43*Mellomregninger!CP91))*(1-EXP(-'1a. Spredningsmodell input'!$B$46*Mellomregninger!CP91))</f>
        <v>#VALUE!</v>
      </c>
      <c r="CZ91" s="297"/>
      <c r="DA91" s="297"/>
      <c r="DB91" s="262">
        <f t="shared" si="47"/>
        <v>5</v>
      </c>
      <c r="DC91" s="298" t="e">
        <f>($S91+$Q91*($O91+$I91*($D91*(1-Stoff!$P91))*(1-EXP(-($F91+Stoff!$L91*365)*DB91)))*(1-EXP(-($N91+Stoff!$M91*365)*DB91)))</f>
        <v>#VALUE!</v>
      </c>
      <c r="DD91" s="294" t="e">
        <f t="shared" si="48"/>
        <v>#VALUE!</v>
      </c>
      <c r="DE91" s="296" t="e">
        <f>(DD91/1000000)*('1a. Spredningsmodell input'!$B$49)*'1a. Spredningsmodell input'!$C$35</f>
        <v>#VALUE!</v>
      </c>
      <c r="DF91" s="294" t="e">
        <f t="shared" si="49"/>
        <v>#VALUE!</v>
      </c>
      <c r="DG91" s="290" t="e">
        <f>(DF91/1000000)*('1a. Spredningsmodell input'!$B$49)*'1a. Spredningsmodell input'!$C$35</f>
        <v>#VALUE!</v>
      </c>
      <c r="DH91" s="297" t="e">
        <f>($S91)*EXP(-(Stoff!$N91*365+$U91)*DB91)+DE91</f>
        <v>#VALUE!</v>
      </c>
      <c r="DI91" s="297" t="e">
        <f>(Stoff!$P91*$S91+DG91)*EXP(-$T91*DB91)</f>
        <v>#VALUE!</v>
      </c>
      <c r="DJ91" s="297" t="e">
        <f>(DH91+DI91)*1000000000/('1a. Spredningsmodell input'!$C$36*1000)</f>
        <v>#VALUE!</v>
      </c>
      <c r="DK91" s="297" t="e">
        <f>$G91*(1-EXP(-'1a. Spredningsmodell input'!$B$43*Mellomregninger!DB91))*(1-EXP(-'1a. Spredningsmodell input'!$B$46*Mellomregninger!DB91))</f>
        <v>#VALUE!</v>
      </c>
      <c r="DL91" s="297"/>
      <c r="DM91" s="297"/>
      <c r="DN91" s="262">
        <f t="shared" si="50"/>
        <v>20</v>
      </c>
      <c r="DO91" s="298" t="e">
        <f>($S91+$Q91*($O91+$I91*($D91*(1-Stoff!$P91))*(1-EXP(-($F91+Stoff!$L91*365)*DN91)))*(1-EXP(-($N91+Stoff!$M91*365)*DN91)))</f>
        <v>#VALUE!</v>
      </c>
      <c r="DP91" s="294" t="e">
        <f t="shared" si="51"/>
        <v>#VALUE!</v>
      </c>
      <c r="DQ91" s="296" t="e">
        <f>(DP91/1000000)*('1a. Spredningsmodell input'!$B$49)*'1a. Spredningsmodell input'!$C$35</f>
        <v>#VALUE!</v>
      </c>
      <c r="DR91" s="294" t="e">
        <f t="shared" si="52"/>
        <v>#VALUE!</v>
      </c>
      <c r="DS91" s="290" t="e">
        <f>(DR91/1000000)*('1a. Spredningsmodell input'!$B$49)*'1a. Spredningsmodell input'!$C$35</f>
        <v>#VALUE!</v>
      </c>
      <c r="DT91" s="297" t="e">
        <f>($S91)*EXP(-(Stoff!$N91*365+$U91)*DN91)+DQ91</f>
        <v>#VALUE!</v>
      </c>
      <c r="DU91" s="297" t="e">
        <f>(Stoff!$P91*$S91+DS91)*EXP(-$T91*DN91)</f>
        <v>#VALUE!</v>
      </c>
      <c r="DV91" s="297" t="e">
        <f>(DT91+DU91)*1000000000/('1a. Spredningsmodell input'!$C$36*1000)</f>
        <v>#VALUE!</v>
      </c>
      <c r="DW91" s="297" t="e">
        <f>$G91*(1-EXP(-'1a. Spredningsmodell input'!$B$43*Mellomregninger!DN91))*(1-EXP(-'1a. Spredningsmodell input'!$B$46*Mellomregninger!DN91))</f>
        <v>#VALUE!</v>
      </c>
      <c r="DX91" s="297"/>
      <c r="DY91" s="297"/>
      <c r="DZ91" s="262">
        <f t="shared" si="53"/>
        <v>100</v>
      </c>
      <c r="EA91" s="298" t="e">
        <f>($S91+$Q91*($O91+$I91*($D91*(1-Stoff!$P91))*(1-EXP(-($F91+Stoff!$L91*365)*DZ91)))*(1-EXP(-($N91+Stoff!$M91*365)*DZ91)))</f>
        <v>#VALUE!</v>
      </c>
      <c r="EB91" s="294" t="e">
        <f t="shared" si="54"/>
        <v>#VALUE!</v>
      </c>
      <c r="EC91" s="296" t="e">
        <f>(EB91/1000000)*('1a. Spredningsmodell input'!$B$49)*'1a. Spredningsmodell input'!$C$35</f>
        <v>#VALUE!</v>
      </c>
      <c r="ED91" s="294" t="e">
        <f t="shared" si="55"/>
        <v>#VALUE!</v>
      </c>
      <c r="EE91" s="290" t="e">
        <f>(ED91/1000000)*('1a. Spredningsmodell input'!$B$49)*'1a. Spredningsmodell input'!$C$35</f>
        <v>#VALUE!</v>
      </c>
      <c r="EF91" s="297" t="e">
        <f>($S91)*EXP(-(Stoff!$N91*365+$U91)*DZ91)+EC91</f>
        <v>#VALUE!</v>
      </c>
      <c r="EG91" s="297" t="e">
        <f>(Stoff!$P91*$S91+EE91)*EXP(-$T91*DZ91)</f>
        <v>#VALUE!</v>
      </c>
      <c r="EH91" s="297" t="e">
        <f>(EF91+EG91)*1000000000/('1a. Spredningsmodell input'!$C$36*1000)</f>
        <v>#VALUE!</v>
      </c>
      <c r="EI91" s="297" t="e">
        <f>$G91*(1-EXP(-'1a. Spredningsmodell input'!$B$43*Mellomregninger!DZ91))*(1-EXP(-'1a. Spredningsmodell input'!$B$46*Mellomregninger!DZ91))</f>
        <v>#VALUE!</v>
      </c>
      <c r="EJ91" s="297"/>
      <c r="EK91" s="297"/>
      <c r="EL91" s="262">
        <f t="shared" si="56"/>
        <v>1.0000000000000001E+25</v>
      </c>
      <c r="EM91" s="294" t="e">
        <f>($S91+$Q91*($O91+$I91*($D91*(1-Stoff!$P91))*(1-EXP(-($F91+Stoff!$L91*365)*EL91)))*(1-EXP(-($N91+Stoff!$M91*365)*EL91)))</f>
        <v>#VALUE!</v>
      </c>
      <c r="EN91" s="296" t="e">
        <f>($S91+$Q91*($O91+$I91*($D91*(1-Stoff!$P91))*(1-EXP(-($F91+Stoff!$L91*365)*(EL91-'1a. Spredningsmodell input'!$C$35))))*(1-EXP(-($N91+Stoff!$M91*365)*(EL91-'1a. Spredningsmodell input'!$C$35))))</f>
        <v>#VALUE!</v>
      </c>
      <c r="EO91" s="294" t="e">
        <f>IF(EL91&lt;'1a. Spredningsmodell input'!$C$35,EM91-($S91)*EXP(-(Stoff!$N91*365+$U91)*EL91),EM91-EN91)</f>
        <v>#VALUE!</v>
      </c>
      <c r="EP91" s="290" t="e">
        <f>((($D91*(Stoff!$P91))*(1-EXP(-'1a. Spredningsmodell input'!$B$43*EL91)))*(1-EXP(-'1a. Spredningsmodell input'!$B$46*EL91)))</f>
        <v>#VALUE!</v>
      </c>
      <c r="EQ91" s="294" t="e">
        <f>((($D91*(Stoff!$P91))*(1-EXP(-'1a. Spredningsmodell input'!$B$43*(EL91-'1a. Spredningsmodell input'!$C$35))))*(1-EXP(-'1a. Spredningsmodell input'!$B$46*(EL91-'1a. Spredningsmodell input'!$C$35))))</f>
        <v>#VALUE!</v>
      </c>
      <c r="ER91" s="290" t="e">
        <f>IF(EL91&lt;'1a. Spredningsmodell input'!$C$35,0,EP91-EQ91)</f>
        <v>#VALUE!</v>
      </c>
      <c r="ES91" s="297" t="e">
        <f>($S91)*EXP(-(Stoff!$N91*365+$U91)*EL91)+EO91</f>
        <v>#VALUE!</v>
      </c>
      <c r="ET91" s="297" t="e">
        <f>(Stoff!$P91*$S91+ER91)*EXP(-$T91*EL91)</f>
        <v>#VALUE!</v>
      </c>
      <c r="EU91" s="297" t="e">
        <f>(ES91+ET91)*1000000000/('1a. Spredningsmodell input'!$C$36*1000)</f>
        <v>#VALUE!</v>
      </c>
      <c r="EV91" s="262" t="e">
        <f t="shared" si="57"/>
        <v>#VALUE!</v>
      </c>
      <c r="EW91" s="299" t="e">
        <f t="shared" si="58"/>
        <v>#VALUE!</v>
      </c>
      <c r="EX91" s="262" t="e">
        <f t="shared" si="59"/>
        <v>#VALUE!</v>
      </c>
    </row>
    <row r="92" spans="1:154" x14ac:dyDescent="0.35">
      <c r="A92" s="301" t="str">
        <f>Stoff!A92</f>
        <v>nystoff 6</v>
      </c>
      <c r="B92" s="34" t="str">
        <f>IF(ISNUMBER('1c. Kons. porevann'!E92),1000*'1c. Kons. porevann'!E92,IF(ISNUMBER('1b. Kons. umettet jord'!E92),1000*'1b. Kons. umettet jord'!E92/C92,""))</f>
        <v/>
      </c>
      <c r="C92" s="244">
        <f>IF(Stoff!B92="uorganisk",Stoff!C92,Stoff!D92*'1a. Spredningsmodell input'!$C$11)</f>
        <v>0</v>
      </c>
      <c r="D92" s="34" t="str">
        <f>IF(ISNUMBER(B92),0.000001*('1b. Kons. umettet jord'!G92*'1a. Spredningsmodell input'!$C$12+B92*0.001*'1a. Spredningsmodell input'!$C$14)*1000*'1a. Spredningsmodell input'!$B$41*'1a. Spredningsmodell input'!$C$18,"")</f>
        <v/>
      </c>
      <c r="E92" s="283">
        <f>C92*'1a. Spredningsmodell input'!$C$12/'1a. Spredningsmodell input'!$C$14+1</f>
        <v>1</v>
      </c>
      <c r="F92" s="284">
        <f>'1a. Spredningsmodell input'!$B$43/E92</f>
        <v>1.4999999999999998</v>
      </c>
      <c r="G92" s="34" t="e">
        <f>Stoff!P92*Mellomregninger!D92</f>
        <v>#VALUE!</v>
      </c>
      <c r="H92" s="283" t="e">
        <f>(D92-G92)*(F92/(F92+Stoff!L92))</f>
        <v>#VALUE!</v>
      </c>
      <c r="I92" s="283">
        <f>F92/(F92+Stoff!L92)</f>
        <v>1</v>
      </c>
      <c r="J92" s="285" t="str">
        <f>IF(B92="","",IF(ISNUMBER('1d. Kons. mettet sone'!E92),'1d. Kons. mettet sone'!E92,IF(ISNUMBER('1e. Kons. grunnvann'!E92),'1e. Kons. grunnvann'!E92*Mellomregninger!K92,0)))</f>
        <v/>
      </c>
      <c r="K92" s="286">
        <f>IF(Stoff!B92="uorganisk",Stoff!C92,Stoff!D92*'1a. Spredningsmodell input'!$C$24)</f>
        <v>0</v>
      </c>
      <c r="L92" s="27" t="e">
        <f>IF(ISNUMBER('1e. Kons. grunnvann'!E92),1000*'1e. Kons. grunnvann'!E92,1000*J92/K92)</f>
        <v>#VALUE!</v>
      </c>
      <c r="M92" s="34">
        <f>K92*'1a. Spredningsmodell input'!$C$25/'1a. Spredningsmodell input'!$C$26+1</f>
        <v>1</v>
      </c>
      <c r="N92" s="284">
        <f>'1a. Spredningsmodell input'!$C$26/M92</f>
        <v>0.4</v>
      </c>
      <c r="O92" s="287" t="e">
        <f>0.000000001*(J92*'1a. Spredningsmodell input'!$C$25+L92)*1000*'1a. Spredningsmodell input'!$B$45</f>
        <v>#VALUE!</v>
      </c>
      <c r="P92" s="287" t="e">
        <f>O92*Stoff!P92</f>
        <v>#VALUE!</v>
      </c>
      <c r="Q92" s="287">
        <f>N92/(N92+Stoff!M92)</f>
        <v>1</v>
      </c>
      <c r="R92" s="288">
        <f>IF(ISNUMBER('1f. Kons. resipient'!E92),'1f. Kons. resipient'!E92,0)</f>
        <v>0</v>
      </c>
      <c r="S92" s="288">
        <f>0.000000001*'1a. Spredningsmodell input'!$C$36*R92*1000</f>
        <v>0</v>
      </c>
      <c r="T92" s="288">
        <f>1/'1a. Spredningsmodell input'!$C$35</f>
        <v>1</v>
      </c>
      <c r="U92" s="288">
        <f>1/'1a. Spredningsmodell input'!$C$35</f>
        <v>1</v>
      </c>
      <c r="V92" s="300" t="e">
        <f>(1/($N92+Stoff!$L92))*(LN(($D92*$I92/($D92*$I92+$J92))*($F92+Stoff!$L92+$N92+Stoff!$M92)/($N92+Stoff!$M92)))</f>
        <v>#VALUE!</v>
      </c>
      <c r="W92" s="290" t="e">
        <f>($D92-Stoff!$P92*$D92)*EXP(-($F92+Stoff!$L92*365)*V92)</f>
        <v>#VALUE!</v>
      </c>
      <c r="X92" s="291" t="e">
        <f>(Stoff!$P92*$D92)*EXP(-'1a. Spredningsmodell input'!$B$43*V92)</f>
        <v>#VALUE!</v>
      </c>
      <c r="Y92" s="290" t="e">
        <f>($D92-Stoff!$P92*$D92-W92)*($F92/($F92+Stoff!$L92*365))</f>
        <v>#VALUE!</v>
      </c>
      <c r="Z92" s="290" t="e">
        <f>(Stoff!$P92*$D92)-X92</f>
        <v>#VALUE!</v>
      </c>
      <c r="AA92" s="290" t="e">
        <f>($O92+Y92)*EXP(-($N92+Stoff!$M92*365)*V92)</f>
        <v>#VALUE!</v>
      </c>
      <c r="AB92" s="290" t="e">
        <f>(Stoff!$P92*$O92+Z92)*EXP(-('1a. Spredningsmodell input'!$B$46)*V92)</f>
        <v>#VALUE!</v>
      </c>
      <c r="AC92" s="292" t="e">
        <f>((AA92+AB92)*1000000000)/('1a. Spredningsmodell input'!$B$45*1000)</f>
        <v>#VALUE!</v>
      </c>
      <c r="AD92" s="294" t="e">
        <f>0.001*AC92/('1a. Spredningsmodell input'!$C$25+'1a. Spredningsmodell input'!$C$26/Mellomregninger!$K92)</f>
        <v>#VALUE!</v>
      </c>
      <c r="AE92" s="294" t="e">
        <f>1000*AD92/$K92+AB92*1000000000/('1a. Spredningsmodell input'!$B$45*1000)</f>
        <v>#VALUE!</v>
      </c>
      <c r="AF92" s="294" t="e">
        <f t="shared" si="35"/>
        <v>#VALUE!</v>
      </c>
      <c r="AG92" s="294" t="e">
        <f>AB92*1000000000/('1a. Spredningsmodell input'!$B$45*1000)</f>
        <v>#VALUE!</v>
      </c>
      <c r="AH92" s="300" t="e">
        <f>(1/('1a. Spredningsmodell input'!$B$46))*(LN(($D92*Stoff!$P92/($D92*Stoff!$P92+$P92*Stoff!$P92))*('1a. Spredningsmodell input'!$B$43+'1a. Spredningsmodell input'!$B$46)/('1a. Spredningsmodell input'!$B$46)))</f>
        <v>#VALUE!</v>
      </c>
      <c r="AI92" s="290" t="e">
        <f>($D92-Stoff!$P92*$D92)*EXP(-($F92+Stoff!$L92*365)*AH92)</f>
        <v>#VALUE!</v>
      </c>
      <c r="AJ92" s="291" t="e">
        <f>(Stoff!$P92*$D92)*EXP(-'1a. Spredningsmodell input'!$B$43*AH92)</f>
        <v>#VALUE!</v>
      </c>
      <c r="AK92" s="290" t="e">
        <f>($D92-Stoff!$P92*$D92-AI92)*($F92/($F92+Stoff!$L92*365))</f>
        <v>#VALUE!</v>
      </c>
      <c r="AL92" s="290" t="e">
        <f>(Stoff!$P92*$D92)-AJ92</f>
        <v>#VALUE!</v>
      </c>
      <c r="AM92" s="290" t="e">
        <f>($O92+AK92)*EXP(-($N92+Stoff!$M92*365)*AH92)</f>
        <v>#VALUE!</v>
      </c>
      <c r="AN92" s="290" t="e">
        <f>(Stoff!$P92*$O92+AL92)*EXP(-('1a. Spredningsmodell input'!$B$46)*AH92)</f>
        <v>#VALUE!</v>
      </c>
      <c r="AO92" s="292" t="e">
        <f>((AM92+AN92)*1000000000)/('1a. Spredningsmodell input'!$B$45*1000)</f>
        <v>#VALUE!</v>
      </c>
      <c r="AP92" s="294" t="e">
        <f>0.001*AO92/('1a. Spredningsmodell input'!$C$25+'1a. Spredningsmodell input'!$C$26/Mellomregninger!$K92)</f>
        <v>#VALUE!</v>
      </c>
      <c r="AQ92" s="294" t="e">
        <f>1000*AP92/$K92+AN92*1000000000/('1a. Spredningsmodell input'!$B$45*1000)</f>
        <v>#VALUE!</v>
      </c>
      <c r="AR92" s="294" t="e">
        <f t="shared" si="36"/>
        <v>#VALUE!</v>
      </c>
      <c r="AS92" s="294" t="e">
        <f>AN92*1000000000/('1a. Spredningsmodell input'!$B$45*1000)</f>
        <v>#VALUE!</v>
      </c>
      <c r="AT92" s="295">
        <f t="shared" si="37"/>
        <v>5</v>
      </c>
      <c r="AU92" s="290" t="e">
        <f>($D92-Stoff!$P92*$D92)*EXP(-($F92+Stoff!$L92*365)*AT92)</f>
        <v>#VALUE!</v>
      </c>
      <c r="AV92" s="291" t="e">
        <f>(Stoff!$P92*$D92)*EXP(-'1a. Spredningsmodell input'!$B$43*AT92)</f>
        <v>#VALUE!</v>
      </c>
      <c r="AW92" s="290" t="e">
        <f>($D92-Stoff!$P92*$D92-AU92)*($F92/($F92+Stoff!$L92*365))</f>
        <v>#VALUE!</v>
      </c>
      <c r="AX92" s="290" t="e">
        <f>(Stoff!$P92*$D92)-AV92</f>
        <v>#VALUE!</v>
      </c>
      <c r="AY92" s="290" t="e">
        <f>($O92+AW92)*EXP(-($N92+Stoff!$M92*365)*AT92)</f>
        <v>#VALUE!</v>
      </c>
      <c r="AZ92" s="290" t="e">
        <f>(Stoff!$P92*$O92+AX92)*EXP(-('1a. Spredningsmodell input'!$B$46)*AT92)</f>
        <v>#VALUE!</v>
      </c>
      <c r="BA92" s="292" t="e">
        <f>((AY92+AZ92)*1000000000)/('1a. Spredningsmodell input'!$B$45*1000)</f>
        <v>#VALUE!</v>
      </c>
      <c r="BB92" s="294" t="e">
        <f>0.001*BA92/('1a. Spredningsmodell input'!$C$25+'1a. Spredningsmodell input'!$C$26/Mellomregninger!$K92)</f>
        <v>#VALUE!</v>
      </c>
      <c r="BC92" s="294" t="e">
        <f>1000*BB92/$K92+AZ92*1000000000/('1a. Spredningsmodell input'!$B$45*1000)</f>
        <v>#VALUE!</v>
      </c>
      <c r="BD92" s="294" t="e">
        <f t="shared" si="38"/>
        <v>#VALUE!</v>
      </c>
      <c r="BE92" s="294" t="e">
        <f>AZ92*1000000000/('1a. Spredningsmodell input'!$B$45*1000)</f>
        <v>#VALUE!</v>
      </c>
      <c r="BF92" s="295">
        <f t="shared" si="39"/>
        <v>20</v>
      </c>
      <c r="BG92" s="290" t="e">
        <f>($D92-Stoff!$P92*$D92)*EXP(-($F92+Stoff!$L92*365)*BF92)</f>
        <v>#VALUE!</v>
      </c>
      <c r="BH92" s="291" t="e">
        <f>(Stoff!$P92*$D92)*EXP(-'1a. Spredningsmodell input'!$B$43*BF92)</f>
        <v>#VALUE!</v>
      </c>
      <c r="BI92" s="290" t="e">
        <f>($D92-Stoff!$P92*$D92-BG92)*($F92/($F92+Stoff!$L92*365))</f>
        <v>#VALUE!</v>
      </c>
      <c r="BJ92" s="290" t="e">
        <f>(Stoff!$P92*$D92)-BH92</f>
        <v>#VALUE!</v>
      </c>
      <c r="BK92" s="290" t="e">
        <f>($O92+BI92)*EXP(-($N92+Stoff!$M92*365)*BF92)</f>
        <v>#VALUE!</v>
      </c>
      <c r="BL92" s="290" t="e">
        <f>(Stoff!$P92*$O92+BJ92)*EXP(-('1a. Spredningsmodell input'!$B$46)*BF92)</f>
        <v>#VALUE!</v>
      </c>
      <c r="BM92" s="292" t="e">
        <f>((BK92+BL92)*1000000000)/('1a. Spredningsmodell input'!$B$45*1000)</f>
        <v>#VALUE!</v>
      </c>
      <c r="BN92" s="294" t="e">
        <f>0.001*BM92/('1a. Spredningsmodell input'!$C$25+'1a. Spredningsmodell input'!$C$26/Mellomregninger!$K92)</f>
        <v>#VALUE!</v>
      </c>
      <c r="BO92" s="294" t="e">
        <f>1000*BN92/$K92+BL92*1000000000/('1a. Spredningsmodell input'!$B$45*1000)</f>
        <v>#VALUE!</v>
      </c>
      <c r="BP92" s="294" t="e">
        <f t="shared" si="40"/>
        <v>#VALUE!</v>
      </c>
      <c r="BQ92" s="294" t="e">
        <f>BL92*1000000000/('1a. Spredningsmodell input'!$B$45*1000)</f>
        <v>#VALUE!</v>
      </c>
      <c r="BR92" s="295">
        <f t="shared" si="41"/>
        <v>100</v>
      </c>
      <c r="BS92" s="290" t="e">
        <f>($D92-Stoff!$P92*$D92)*EXP(-($F92+Stoff!$L92*365)*BR92)</f>
        <v>#VALUE!</v>
      </c>
      <c r="BT92" s="291" t="e">
        <f>(Stoff!$P92*$D92)*EXP(-'1a. Spredningsmodell input'!$B$43*BR92)</f>
        <v>#VALUE!</v>
      </c>
      <c r="BU92" s="290" t="e">
        <f>($D92-Stoff!$P92*$D92-BS92)*($F92/($F92+Stoff!$L92*365))</f>
        <v>#VALUE!</v>
      </c>
      <c r="BV92" s="290" t="e">
        <f>(Stoff!$P92*$D92)-BT92</f>
        <v>#VALUE!</v>
      </c>
      <c r="BW92" s="290" t="e">
        <f>($O92+BU92)*EXP(-($N92+Stoff!$M92*365)*BR92)</f>
        <v>#VALUE!</v>
      </c>
      <c r="BX92" s="290" t="e">
        <f>(Stoff!$P92*$O92+BV92)*EXP(-('1a. Spredningsmodell input'!$B$46)*BR92)</f>
        <v>#VALUE!</v>
      </c>
      <c r="BY92" s="292" t="e">
        <f>((BW92+BX92)*1000000000)/('1a. Spredningsmodell input'!$B$45*1000)</f>
        <v>#VALUE!</v>
      </c>
      <c r="BZ92" s="294" t="e">
        <f>0.001*BY92/('1a. Spredningsmodell input'!$C$25+'1a. Spredningsmodell input'!$C$26/Mellomregninger!$K92)</f>
        <v>#VALUE!</v>
      </c>
      <c r="CA92" s="294" t="e">
        <f>1000*BZ92/$K92+BX92*1000000000/('1a. Spredningsmodell input'!$B$45*1000)</f>
        <v>#VALUE!</v>
      </c>
      <c r="CB92" s="294" t="e">
        <f t="shared" si="42"/>
        <v>#VALUE!</v>
      </c>
      <c r="CC92" s="294" t="e">
        <f>BX92*1000000000/('1a. Spredningsmodell input'!$B$45*1000)</f>
        <v>#VALUE!</v>
      </c>
      <c r="CD92" s="294" t="e">
        <f>V92+'1a. Spredningsmodell input'!$C$35</f>
        <v>#VALUE!</v>
      </c>
      <c r="CE92" s="294" t="e">
        <f>($S92+$Q92*($O92+$I92*($D92*(1-Stoff!$P92))*(1-EXP(-($F92+Stoff!$L92*365)*CD92)))*(1-EXP(-($N92+Stoff!$M92*365)*CD92)))</f>
        <v>#VALUE!</v>
      </c>
      <c r="CF92" s="294" t="e">
        <f t="shared" si="43"/>
        <v>#VALUE!</v>
      </c>
      <c r="CG92" s="296" t="e">
        <f>(CF92/1000000)*'1a. Spredningsmodell input'!$B$49*'1a. Spredningsmodell input'!$C$35</f>
        <v>#VALUE!</v>
      </c>
      <c r="CH92" s="294" t="e">
        <f t="shared" si="44"/>
        <v>#VALUE!</v>
      </c>
      <c r="CI92" s="290" t="e">
        <f>(CH92/1000000)*'1a. Spredningsmodell input'!$B$49*'1a. Spredningsmodell input'!$C$35</f>
        <v>#VALUE!</v>
      </c>
      <c r="CJ92" s="297" t="e">
        <f>($S92)*EXP(-(Stoff!$N92*365+$U92)*CD92)+CG92</f>
        <v>#VALUE!</v>
      </c>
      <c r="CK92" s="297" t="e">
        <f>(Stoff!$P92*$S92+CI92)*EXP(-$T92*CD92)</f>
        <v>#VALUE!</v>
      </c>
      <c r="CL92" s="297" t="e">
        <f>(CJ92+CK92)*1000000000/('1a. Spredningsmodell input'!$C$36*1000)</f>
        <v>#VALUE!</v>
      </c>
      <c r="CM92" s="297" t="e">
        <f>$G92*(1-EXP(-'1a. Spredningsmodell input'!$B$43*Mellomregninger!CD92))*(1-EXP(-'1a. Spredningsmodell input'!$B$46*Mellomregninger!CD92))</f>
        <v>#VALUE!</v>
      </c>
      <c r="CN92" s="297"/>
      <c r="CO92" s="297"/>
      <c r="CP92" s="290">
        <f>IF(ISNUMBER(AH92),AH92+'1a. Spredningsmodell input'!$C$35,'1a. Spredningsmodell input'!$C$35)</f>
        <v>1</v>
      </c>
      <c r="CQ92" s="294" t="e">
        <f>($S92+$Q92*($O92+$I92*($D92*(1-Stoff!$P92))*(1-EXP(-($F92+Stoff!$L92*365)*CP92)))*(1-EXP(-($N92+Stoff!$M92*365)*CP92)))</f>
        <v>#VALUE!</v>
      </c>
      <c r="CR92" s="294" t="e">
        <f t="shared" si="45"/>
        <v>#VALUE!</v>
      </c>
      <c r="CS92" s="296" t="e">
        <f>(CR92/1000000)*('1a. Spredningsmodell input'!$B$49*'1a. Spredningsmodell input'!$C$35)</f>
        <v>#VALUE!</v>
      </c>
      <c r="CT92" s="294" t="e">
        <f t="shared" si="46"/>
        <v>#VALUE!</v>
      </c>
      <c r="CU92" s="290" t="e">
        <f>(CT92/1000000)*('1a. Spredningsmodell input'!$B$49)*'1a. Spredningsmodell input'!$C$35</f>
        <v>#VALUE!</v>
      </c>
      <c r="CV92" s="297" t="e">
        <f>($S92)*EXP(-(Stoff!$N92*365+$U92)*CP92)+CS92</f>
        <v>#VALUE!</v>
      </c>
      <c r="CW92" s="297" t="e">
        <f>(Stoff!$P92*$S92+CU92)*EXP(-$T92*CP92)</f>
        <v>#VALUE!</v>
      </c>
      <c r="CX92" s="297">
        <f>IF(ISERROR(CV92),0,(CV92+CW92)*1000000000/('1a. Spredningsmodell input'!$C$36*1000))</f>
        <v>0</v>
      </c>
      <c r="CY92" s="297" t="e">
        <f>$G92*(1-EXP(-'1a. Spredningsmodell input'!$B$43*Mellomregninger!CP92))*(1-EXP(-'1a. Spredningsmodell input'!$B$46*Mellomregninger!CP92))</f>
        <v>#VALUE!</v>
      </c>
      <c r="CZ92" s="297"/>
      <c r="DA92" s="297"/>
      <c r="DB92" s="262">
        <f t="shared" si="47"/>
        <v>5</v>
      </c>
      <c r="DC92" s="298" t="e">
        <f>($S92+$Q92*($O92+$I92*($D92*(1-Stoff!$P92))*(1-EXP(-($F92+Stoff!$L92*365)*DB92)))*(1-EXP(-($N92+Stoff!$M92*365)*DB92)))</f>
        <v>#VALUE!</v>
      </c>
      <c r="DD92" s="294" t="e">
        <f t="shared" si="48"/>
        <v>#VALUE!</v>
      </c>
      <c r="DE92" s="296" t="e">
        <f>(DD92/1000000)*('1a. Spredningsmodell input'!$B$49)*'1a. Spredningsmodell input'!$C$35</f>
        <v>#VALUE!</v>
      </c>
      <c r="DF92" s="294" t="e">
        <f t="shared" si="49"/>
        <v>#VALUE!</v>
      </c>
      <c r="DG92" s="290" t="e">
        <f>(DF92/1000000)*('1a. Spredningsmodell input'!$B$49)*'1a. Spredningsmodell input'!$C$35</f>
        <v>#VALUE!</v>
      </c>
      <c r="DH92" s="297" t="e">
        <f>($S92)*EXP(-(Stoff!$N92*365+$U92)*DB92)+DE92</f>
        <v>#VALUE!</v>
      </c>
      <c r="DI92" s="297" t="e">
        <f>(Stoff!$P92*$S92+DG92)*EXP(-$T92*DB92)</f>
        <v>#VALUE!</v>
      </c>
      <c r="DJ92" s="297" t="e">
        <f>(DH92+DI92)*1000000000/('1a. Spredningsmodell input'!$C$36*1000)</f>
        <v>#VALUE!</v>
      </c>
      <c r="DK92" s="297" t="e">
        <f>$G92*(1-EXP(-'1a. Spredningsmodell input'!$B$43*Mellomregninger!DB92))*(1-EXP(-'1a. Spredningsmodell input'!$B$46*Mellomregninger!DB92))</f>
        <v>#VALUE!</v>
      </c>
      <c r="DL92" s="297"/>
      <c r="DM92" s="297"/>
      <c r="DN92" s="262">
        <f t="shared" si="50"/>
        <v>20</v>
      </c>
      <c r="DO92" s="298" t="e">
        <f>($S92+$Q92*($O92+$I92*($D92*(1-Stoff!$P92))*(1-EXP(-($F92+Stoff!$L92*365)*DN92)))*(1-EXP(-($N92+Stoff!$M92*365)*DN92)))</f>
        <v>#VALUE!</v>
      </c>
      <c r="DP92" s="294" t="e">
        <f t="shared" si="51"/>
        <v>#VALUE!</v>
      </c>
      <c r="DQ92" s="296" t="e">
        <f>(DP92/1000000)*('1a. Spredningsmodell input'!$B$49)*'1a. Spredningsmodell input'!$C$35</f>
        <v>#VALUE!</v>
      </c>
      <c r="DR92" s="294" t="e">
        <f t="shared" si="52"/>
        <v>#VALUE!</v>
      </c>
      <c r="DS92" s="290" t="e">
        <f>(DR92/1000000)*('1a. Spredningsmodell input'!$B$49)*'1a. Spredningsmodell input'!$C$35</f>
        <v>#VALUE!</v>
      </c>
      <c r="DT92" s="297" t="e">
        <f>($S92)*EXP(-(Stoff!$N92*365+$U92)*DN92)+DQ92</f>
        <v>#VALUE!</v>
      </c>
      <c r="DU92" s="297" t="e">
        <f>(Stoff!$P92*$S92+DS92)*EXP(-$T92*DN92)</f>
        <v>#VALUE!</v>
      </c>
      <c r="DV92" s="297" t="e">
        <f>(DT92+DU92)*1000000000/('1a. Spredningsmodell input'!$C$36*1000)</f>
        <v>#VALUE!</v>
      </c>
      <c r="DW92" s="297" t="e">
        <f>$G92*(1-EXP(-'1a. Spredningsmodell input'!$B$43*Mellomregninger!DN92))*(1-EXP(-'1a. Spredningsmodell input'!$B$46*Mellomregninger!DN92))</f>
        <v>#VALUE!</v>
      </c>
      <c r="DX92" s="297"/>
      <c r="DY92" s="297"/>
      <c r="DZ92" s="262">
        <f t="shared" si="53"/>
        <v>100</v>
      </c>
      <c r="EA92" s="298" t="e">
        <f>($S92+$Q92*($O92+$I92*($D92*(1-Stoff!$P92))*(1-EXP(-($F92+Stoff!$L92*365)*DZ92)))*(1-EXP(-($N92+Stoff!$M92*365)*DZ92)))</f>
        <v>#VALUE!</v>
      </c>
      <c r="EB92" s="294" t="e">
        <f t="shared" si="54"/>
        <v>#VALUE!</v>
      </c>
      <c r="EC92" s="296" t="e">
        <f>(EB92/1000000)*('1a. Spredningsmodell input'!$B$49)*'1a. Spredningsmodell input'!$C$35</f>
        <v>#VALUE!</v>
      </c>
      <c r="ED92" s="294" t="e">
        <f t="shared" si="55"/>
        <v>#VALUE!</v>
      </c>
      <c r="EE92" s="290" t="e">
        <f>(ED92/1000000)*('1a. Spredningsmodell input'!$B$49)*'1a. Spredningsmodell input'!$C$35</f>
        <v>#VALUE!</v>
      </c>
      <c r="EF92" s="297" t="e">
        <f>($S92)*EXP(-(Stoff!$N92*365+$U92)*DZ92)+EC92</f>
        <v>#VALUE!</v>
      </c>
      <c r="EG92" s="297" t="e">
        <f>(Stoff!$P92*$S92+EE92)*EXP(-$T92*DZ92)</f>
        <v>#VALUE!</v>
      </c>
      <c r="EH92" s="297" t="e">
        <f>(EF92+EG92)*1000000000/('1a. Spredningsmodell input'!$C$36*1000)</f>
        <v>#VALUE!</v>
      </c>
      <c r="EI92" s="297" t="e">
        <f>$G92*(1-EXP(-'1a. Spredningsmodell input'!$B$43*Mellomregninger!DZ92))*(1-EXP(-'1a. Spredningsmodell input'!$B$46*Mellomregninger!DZ92))</f>
        <v>#VALUE!</v>
      </c>
      <c r="EJ92" s="297"/>
      <c r="EK92" s="297"/>
      <c r="EL92" s="262">
        <f t="shared" si="56"/>
        <v>1.0000000000000001E+25</v>
      </c>
      <c r="EM92" s="294" t="e">
        <f>($S92+$Q92*($O92+$I92*($D92*(1-Stoff!$P92))*(1-EXP(-($F92+Stoff!$L92*365)*EL92)))*(1-EXP(-($N92+Stoff!$M92*365)*EL92)))</f>
        <v>#VALUE!</v>
      </c>
      <c r="EN92" s="296" t="e">
        <f>($S92+$Q92*($O92+$I92*($D92*(1-Stoff!$P92))*(1-EXP(-($F92+Stoff!$L92*365)*(EL92-'1a. Spredningsmodell input'!$C$35))))*(1-EXP(-($N92+Stoff!$M92*365)*(EL92-'1a. Spredningsmodell input'!$C$35))))</f>
        <v>#VALUE!</v>
      </c>
      <c r="EO92" s="294" t="e">
        <f>IF(EL92&lt;'1a. Spredningsmodell input'!$C$35,EM92-($S92)*EXP(-(Stoff!$N92*365+$U92)*EL92),EM92-EN92)</f>
        <v>#VALUE!</v>
      </c>
      <c r="EP92" s="290" t="e">
        <f>((($D92*(Stoff!$P92))*(1-EXP(-'1a. Spredningsmodell input'!$B$43*EL92)))*(1-EXP(-'1a. Spredningsmodell input'!$B$46*EL92)))</f>
        <v>#VALUE!</v>
      </c>
      <c r="EQ92" s="294" t="e">
        <f>((($D92*(Stoff!$P92))*(1-EXP(-'1a. Spredningsmodell input'!$B$43*(EL92-'1a. Spredningsmodell input'!$C$35))))*(1-EXP(-'1a. Spredningsmodell input'!$B$46*(EL92-'1a. Spredningsmodell input'!$C$35))))</f>
        <v>#VALUE!</v>
      </c>
      <c r="ER92" s="290" t="e">
        <f>IF(EL92&lt;'1a. Spredningsmodell input'!$C$35,0,EP92-EQ92)</f>
        <v>#VALUE!</v>
      </c>
      <c r="ES92" s="297" t="e">
        <f>($S92)*EXP(-(Stoff!$N92*365+$U92)*EL92)+EO92</f>
        <v>#VALUE!</v>
      </c>
      <c r="ET92" s="297" t="e">
        <f>(Stoff!$P92*$S92+ER92)*EXP(-$T92*EL92)</f>
        <v>#VALUE!</v>
      </c>
      <c r="EU92" s="297" t="e">
        <f>(ES92+ET92)*1000000000/('1a. Spredningsmodell input'!$C$36*1000)</f>
        <v>#VALUE!</v>
      </c>
      <c r="EV92" s="262" t="e">
        <f t="shared" si="57"/>
        <v>#VALUE!</v>
      </c>
      <c r="EW92" s="299" t="e">
        <f t="shared" si="58"/>
        <v>#VALUE!</v>
      </c>
      <c r="EX92" s="262" t="e">
        <f t="shared" si="59"/>
        <v>#VALUE!</v>
      </c>
    </row>
    <row r="93" spans="1:154" x14ac:dyDescent="0.35">
      <c r="A93" s="301" t="str">
        <f>Stoff!A93</f>
        <v>nystoff 7</v>
      </c>
      <c r="B93" s="34" t="str">
        <f>IF(ISNUMBER('1c. Kons. porevann'!E93),1000*'1c. Kons. porevann'!E93,IF(ISNUMBER('1b. Kons. umettet jord'!E93),1000*'1b. Kons. umettet jord'!E93/C93,""))</f>
        <v/>
      </c>
      <c r="C93" s="244">
        <f>IF(Stoff!B93="uorganisk",Stoff!C93,Stoff!D93*'1a. Spredningsmodell input'!$C$11)</f>
        <v>0</v>
      </c>
      <c r="D93" s="34" t="str">
        <f>IF(ISNUMBER(B93),0.000001*('1b. Kons. umettet jord'!G93*'1a. Spredningsmodell input'!$C$12+B93*0.001*'1a. Spredningsmodell input'!$C$14)*1000*'1a. Spredningsmodell input'!$B$41*'1a. Spredningsmodell input'!$C$18,"")</f>
        <v/>
      </c>
      <c r="E93" s="283">
        <f>C93*'1a. Spredningsmodell input'!$C$12/'1a. Spredningsmodell input'!$C$14+1</f>
        <v>1</v>
      </c>
      <c r="F93" s="284">
        <f>'1a. Spredningsmodell input'!$B$43/E93</f>
        <v>1.4999999999999998</v>
      </c>
      <c r="G93" s="34" t="e">
        <f>Stoff!P93*Mellomregninger!D93</f>
        <v>#VALUE!</v>
      </c>
      <c r="H93" s="283" t="e">
        <f>(D93-G93)*(F93/(F93+Stoff!L93))</f>
        <v>#VALUE!</v>
      </c>
      <c r="I93" s="283">
        <f>F93/(F93+Stoff!L93)</f>
        <v>1</v>
      </c>
      <c r="J93" s="285" t="str">
        <f>IF(B93="","",IF(ISNUMBER('1d. Kons. mettet sone'!E93),'1d. Kons. mettet sone'!E93,IF(ISNUMBER('1e. Kons. grunnvann'!E93),'1e. Kons. grunnvann'!E93*Mellomregninger!K93,0)))</f>
        <v/>
      </c>
      <c r="K93" s="286">
        <f>IF(Stoff!B93="uorganisk",Stoff!C93,Stoff!D93*'1a. Spredningsmodell input'!$C$24)</f>
        <v>0</v>
      </c>
      <c r="L93" s="27" t="e">
        <f>IF(ISNUMBER('1e. Kons. grunnvann'!E93),1000*'1e. Kons. grunnvann'!E93,1000*J93/K93)</f>
        <v>#VALUE!</v>
      </c>
      <c r="M93" s="34">
        <f>K93*'1a. Spredningsmodell input'!$C$25/'1a. Spredningsmodell input'!$C$26+1</f>
        <v>1</v>
      </c>
      <c r="N93" s="284">
        <f>'1a. Spredningsmodell input'!$C$26/M93</f>
        <v>0.4</v>
      </c>
      <c r="O93" s="287" t="e">
        <f>0.000000001*(J93*'1a. Spredningsmodell input'!$C$25+L93)*1000*'1a. Spredningsmodell input'!$B$45</f>
        <v>#VALUE!</v>
      </c>
      <c r="P93" s="287" t="e">
        <f>O93*Stoff!P93</f>
        <v>#VALUE!</v>
      </c>
      <c r="Q93" s="287">
        <f>N93/(N93+Stoff!M93)</f>
        <v>1</v>
      </c>
      <c r="R93" s="288">
        <f>IF(ISNUMBER('1f. Kons. resipient'!E93),'1f. Kons. resipient'!E93,0)</f>
        <v>0</v>
      </c>
      <c r="S93" s="288">
        <f>0.000000001*'1a. Spredningsmodell input'!$C$36*R93*1000</f>
        <v>0</v>
      </c>
      <c r="T93" s="288">
        <f>1/'1a. Spredningsmodell input'!$C$35</f>
        <v>1</v>
      </c>
      <c r="U93" s="288">
        <f>1/'1a. Spredningsmodell input'!$C$35</f>
        <v>1</v>
      </c>
      <c r="V93" s="300" t="e">
        <f>(1/($N93+Stoff!$L93))*(LN(($D93*$I93/($D93*$I93+$J93))*($F93+Stoff!$L93+$N93+Stoff!$M93)/($N93+Stoff!$M93)))</f>
        <v>#VALUE!</v>
      </c>
      <c r="W93" s="290" t="e">
        <f>($D93-Stoff!$P93*$D93)*EXP(-($F93+Stoff!$L93*365)*V93)</f>
        <v>#VALUE!</v>
      </c>
      <c r="X93" s="291" t="e">
        <f>(Stoff!$P93*$D93)*EXP(-'1a. Spredningsmodell input'!$B$43*V93)</f>
        <v>#VALUE!</v>
      </c>
      <c r="Y93" s="290" t="e">
        <f>($D93-Stoff!$P93*$D93-W93)*($F93/($F93+Stoff!$L93*365))</f>
        <v>#VALUE!</v>
      </c>
      <c r="Z93" s="290" t="e">
        <f>(Stoff!$P93*$D93)-X93</f>
        <v>#VALUE!</v>
      </c>
      <c r="AA93" s="290" t="e">
        <f>($O93+Y93)*EXP(-($N93+Stoff!$M93*365)*V93)</f>
        <v>#VALUE!</v>
      </c>
      <c r="AB93" s="290" t="e">
        <f>(Stoff!$P93*$O93+Z93)*EXP(-('1a. Spredningsmodell input'!$B$46)*V93)</f>
        <v>#VALUE!</v>
      </c>
      <c r="AC93" s="292" t="e">
        <f>((AA93+AB93)*1000000000)/('1a. Spredningsmodell input'!$B$45*1000)</f>
        <v>#VALUE!</v>
      </c>
      <c r="AD93" s="294" t="e">
        <f>0.001*AC93/('1a. Spredningsmodell input'!$C$25+'1a. Spredningsmodell input'!$C$26/Mellomregninger!$K93)</f>
        <v>#VALUE!</v>
      </c>
      <c r="AE93" s="294" t="e">
        <f>1000*AD93/$K93+AB93*1000000000/('1a. Spredningsmodell input'!$B$45*1000)</f>
        <v>#VALUE!</v>
      </c>
      <c r="AF93" s="294" t="e">
        <f t="shared" si="35"/>
        <v>#VALUE!</v>
      </c>
      <c r="AG93" s="294" t="e">
        <f>AB93*1000000000/('1a. Spredningsmodell input'!$B$45*1000)</f>
        <v>#VALUE!</v>
      </c>
      <c r="AH93" s="300" t="e">
        <f>(1/('1a. Spredningsmodell input'!$B$46))*(LN(($D93*Stoff!$P93/($D93*Stoff!$P93+$P93*Stoff!$P93))*('1a. Spredningsmodell input'!$B$43+'1a. Spredningsmodell input'!$B$46)/('1a. Spredningsmodell input'!$B$46)))</f>
        <v>#VALUE!</v>
      </c>
      <c r="AI93" s="290" t="e">
        <f>($D93-Stoff!$P93*$D93)*EXP(-($F93+Stoff!$L93*365)*AH93)</f>
        <v>#VALUE!</v>
      </c>
      <c r="AJ93" s="291" t="e">
        <f>(Stoff!$P93*$D93)*EXP(-'1a. Spredningsmodell input'!$B$43*AH93)</f>
        <v>#VALUE!</v>
      </c>
      <c r="AK93" s="290" t="e">
        <f>($D93-Stoff!$P93*$D93-AI93)*($F93/($F93+Stoff!$L93*365))</f>
        <v>#VALUE!</v>
      </c>
      <c r="AL93" s="290" t="e">
        <f>(Stoff!$P93*$D93)-AJ93</f>
        <v>#VALUE!</v>
      </c>
      <c r="AM93" s="290" t="e">
        <f>($O93+AK93)*EXP(-($N93+Stoff!$M93*365)*AH93)</f>
        <v>#VALUE!</v>
      </c>
      <c r="AN93" s="290" t="e">
        <f>(Stoff!$P93*$O93+AL93)*EXP(-('1a. Spredningsmodell input'!$B$46)*AH93)</f>
        <v>#VALUE!</v>
      </c>
      <c r="AO93" s="292" t="e">
        <f>((AM93+AN93)*1000000000)/('1a. Spredningsmodell input'!$B$45*1000)</f>
        <v>#VALUE!</v>
      </c>
      <c r="AP93" s="294" t="e">
        <f>0.001*AO93/('1a. Spredningsmodell input'!$C$25+'1a. Spredningsmodell input'!$C$26/Mellomregninger!$K93)</f>
        <v>#VALUE!</v>
      </c>
      <c r="AQ93" s="294" t="e">
        <f>1000*AP93/$K93+AN93*1000000000/('1a. Spredningsmodell input'!$B$45*1000)</f>
        <v>#VALUE!</v>
      </c>
      <c r="AR93" s="294" t="e">
        <f t="shared" si="36"/>
        <v>#VALUE!</v>
      </c>
      <c r="AS93" s="294" t="e">
        <f>AN93*1000000000/('1a. Spredningsmodell input'!$B$45*1000)</f>
        <v>#VALUE!</v>
      </c>
      <c r="AT93" s="295">
        <f t="shared" si="37"/>
        <v>5</v>
      </c>
      <c r="AU93" s="290" t="e">
        <f>($D93-Stoff!$P93*$D93)*EXP(-($F93+Stoff!$L93*365)*AT93)</f>
        <v>#VALUE!</v>
      </c>
      <c r="AV93" s="291" t="e">
        <f>(Stoff!$P93*$D93)*EXP(-'1a. Spredningsmodell input'!$B$43*AT93)</f>
        <v>#VALUE!</v>
      </c>
      <c r="AW93" s="290" t="e">
        <f>($D93-Stoff!$P93*$D93-AU93)*($F93/($F93+Stoff!$L93*365))</f>
        <v>#VALUE!</v>
      </c>
      <c r="AX93" s="290" t="e">
        <f>(Stoff!$P93*$D93)-AV93</f>
        <v>#VALUE!</v>
      </c>
      <c r="AY93" s="290" t="e">
        <f>($O93+AW93)*EXP(-($N93+Stoff!$M93*365)*AT93)</f>
        <v>#VALUE!</v>
      </c>
      <c r="AZ93" s="290" t="e">
        <f>(Stoff!$P93*$O93+AX93)*EXP(-('1a. Spredningsmodell input'!$B$46)*AT93)</f>
        <v>#VALUE!</v>
      </c>
      <c r="BA93" s="292" t="e">
        <f>((AY93+AZ93)*1000000000)/('1a. Spredningsmodell input'!$B$45*1000)</f>
        <v>#VALUE!</v>
      </c>
      <c r="BB93" s="294" t="e">
        <f>0.001*BA93/('1a. Spredningsmodell input'!$C$25+'1a. Spredningsmodell input'!$C$26/Mellomregninger!$K93)</f>
        <v>#VALUE!</v>
      </c>
      <c r="BC93" s="294" t="e">
        <f>1000*BB93/$K93+AZ93*1000000000/('1a. Spredningsmodell input'!$B$45*1000)</f>
        <v>#VALUE!</v>
      </c>
      <c r="BD93" s="294" t="e">
        <f t="shared" si="38"/>
        <v>#VALUE!</v>
      </c>
      <c r="BE93" s="294" t="e">
        <f>AZ93*1000000000/('1a. Spredningsmodell input'!$B$45*1000)</f>
        <v>#VALUE!</v>
      </c>
      <c r="BF93" s="295">
        <f t="shared" si="39"/>
        <v>20</v>
      </c>
      <c r="BG93" s="290" t="e">
        <f>($D93-Stoff!$P93*$D93)*EXP(-($F93+Stoff!$L93*365)*BF93)</f>
        <v>#VALUE!</v>
      </c>
      <c r="BH93" s="291" t="e">
        <f>(Stoff!$P93*$D93)*EXP(-'1a. Spredningsmodell input'!$B$43*BF93)</f>
        <v>#VALUE!</v>
      </c>
      <c r="BI93" s="290" t="e">
        <f>($D93-Stoff!$P93*$D93-BG93)*($F93/($F93+Stoff!$L93*365))</f>
        <v>#VALUE!</v>
      </c>
      <c r="BJ93" s="290" t="e">
        <f>(Stoff!$P93*$D93)-BH93</f>
        <v>#VALUE!</v>
      </c>
      <c r="BK93" s="290" t="e">
        <f>($O93+BI93)*EXP(-($N93+Stoff!$M93*365)*BF93)</f>
        <v>#VALUE!</v>
      </c>
      <c r="BL93" s="290" t="e">
        <f>(Stoff!$P93*$O93+BJ93)*EXP(-('1a. Spredningsmodell input'!$B$46)*BF93)</f>
        <v>#VALUE!</v>
      </c>
      <c r="BM93" s="292" t="e">
        <f>((BK93+BL93)*1000000000)/('1a. Spredningsmodell input'!$B$45*1000)</f>
        <v>#VALUE!</v>
      </c>
      <c r="BN93" s="294" t="e">
        <f>0.001*BM93/('1a. Spredningsmodell input'!$C$25+'1a. Spredningsmodell input'!$C$26/Mellomregninger!$K93)</f>
        <v>#VALUE!</v>
      </c>
      <c r="BO93" s="294" t="e">
        <f>1000*BN93/$K93+BL93*1000000000/('1a. Spredningsmodell input'!$B$45*1000)</f>
        <v>#VALUE!</v>
      </c>
      <c r="BP93" s="294" t="e">
        <f t="shared" si="40"/>
        <v>#VALUE!</v>
      </c>
      <c r="BQ93" s="294" t="e">
        <f>BL93*1000000000/('1a. Spredningsmodell input'!$B$45*1000)</f>
        <v>#VALUE!</v>
      </c>
      <c r="BR93" s="295">
        <f t="shared" si="41"/>
        <v>100</v>
      </c>
      <c r="BS93" s="290" t="e">
        <f>($D93-Stoff!$P93*$D93)*EXP(-($F93+Stoff!$L93*365)*BR93)</f>
        <v>#VALUE!</v>
      </c>
      <c r="BT93" s="291" t="e">
        <f>(Stoff!$P93*$D93)*EXP(-'1a. Spredningsmodell input'!$B$43*BR93)</f>
        <v>#VALUE!</v>
      </c>
      <c r="BU93" s="290" t="e">
        <f>($D93-Stoff!$P93*$D93-BS93)*($F93/($F93+Stoff!$L93*365))</f>
        <v>#VALUE!</v>
      </c>
      <c r="BV93" s="290" t="e">
        <f>(Stoff!$P93*$D93)-BT93</f>
        <v>#VALUE!</v>
      </c>
      <c r="BW93" s="290" t="e">
        <f>($O93+BU93)*EXP(-($N93+Stoff!$M93*365)*BR93)</f>
        <v>#VALUE!</v>
      </c>
      <c r="BX93" s="290" t="e">
        <f>(Stoff!$P93*$O93+BV93)*EXP(-('1a. Spredningsmodell input'!$B$46)*BR93)</f>
        <v>#VALUE!</v>
      </c>
      <c r="BY93" s="292" t="e">
        <f>((BW93+BX93)*1000000000)/('1a. Spredningsmodell input'!$B$45*1000)</f>
        <v>#VALUE!</v>
      </c>
      <c r="BZ93" s="294" t="e">
        <f>0.001*BY93/('1a. Spredningsmodell input'!$C$25+'1a. Spredningsmodell input'!$C$26/Mellomregninger!$K93)</f>
        <v>#VALUE!</v>
      </c>
      <c r="CA93" s="294" t="e">
        <f>1000*BZ93/$K93+BX93*1000000000/('1a. Spredningsmodell input'!$B$45*1000)</f>
        <v>#VALUE!</v>
      </c>
      <c r="CB93" s="294" t="e">
        <f t="shared" si="42"/>
        <v>#VALUE!</v>
      </c>
      <c r="CC93" s="294" t="e">
        <f>BX93*1000000000/('1a. Spredningsmodell input'!$B$45*1000)</f>
        <v>#VALUE!</v>
      </c>
      <c r="CD93" s="294" t="e">
        <f>V93+'1a. Spredningsmodell input'!$C$35</f>
        <v>#VALUE!</v>
      </c>
      <c r="CE93" s="294" t="e">
        <f>($S93+$Q93*($O93+$I93*($D93*(1-Stoff!$P93))*(1-EXP(-($F93+Stoff!$L93*365)*CD93)))*(1-EXP(-($N93+Stoff!$M93*365)*CD93)))</f>
        <v>#VALUE!</v>
      </c>
      <c r="CF93" s="294" t="e">
        <f t="shared" si="43"/>
        <v>#VALUE!</v>
      </c>
      <c r="CG93" s="296" t="e">
        <f>(CF93/1000000)*'1a. Spredningsmodell input'!$B$49*'1a. Spredningsmodell input'!$C$35</f>
        <v>#VALUE!</v>
      </c>
      <c r="CH93" s="294" t="e">
        <f t="shared" si="44"/>
        <v>#VALUE!</v>
      </c>
      <c r="CI93" s="290" t="e">
        <f>(CH93/1000000)*'1a. Spredningsmodell input'!$B$49*'1a. Spredningsmodell input'!$C$35</f>
        <v>#VALUE!</v>
      </c>
      <c r="CJ93" s="297" t="e">
        <f>($S93)*EXP(-(Stoff!$N93*365+$U93)*CD93)+CG93</f>
        <v>#VALUE!</v>
      </c>
      <c r="CK93" s="297" t="e">
        <f>(Stoff!$P93*$S93+CI93)*EXP(-$T93*CD93)</f>
        <v>#VALUE!</v>
      </c>
      <c r="CL93" s="297" t="e">
        <f>(CJ93+CK93)*1000000000/('1a. Spredningsmodell input'!$C$36*1000)</f>
        <v>#VALUE!</v>
      </c>
      <c r="CM93" s="297" t="e">
        <f>$G93*(1-EXP(-'1a. Spredningsmodell input'!$B$43*Mellomregninger!CD93))*(1-EXP(-'1a. Spredningsmodell input'!$B$46*Mellomregninger!CD93))</f>
        <v>#VALUE!</v>
      </c>
      <c r="CN93" s="297"/>
      <c r="CO93" s="297"/>
      <c r="CP93" s="290">
        <f>IF(ISNUMBER(AH93),AH93+'1a. Spredningsmodell input'!$C$35,'1a. Spredningsmodell input'!$C$35)</f>
        <v>1</v>
      </c>
      <c r="CQ93" s="294" t="e">
        <f>($S93+$Q93*($O93+$I93*($D93*(1-Stoff!$P93))*(1-EXP(-($F93+Stoff!$L93*365)*CP93)))*(1-EXP(-($N93+Stoff!$M93*365)*CP93)))</f>
        <v>#VALUE!</v>
      </c>
      <c r="CR93" s="294" t="e">
        <f t="shared" si="45"/>
        <v>#VALUE!</v>
      </c>
      <c r="CS93" s="296" t="e">
        <f>(CR93/1000000)*('1a. Spredningsmodell input'!$B$49*'1a. Spredningsmodell input'!$C$35)</f>
        <v>#VALUE!</v>
      </c>
      <c r="CT93" s="294" t="e">
        <f t="shared" si="46"/>
        <v>#VALUE!</v>
      </c>
      <c r="CU93" s="290" t="e">
        <f>(CT93/1000000)*('1a. Spredningsmodell input'!$B$49)*'1a. Spredningsmodell input'!$C$35</f>
        <v>#VALUE!</v>
      </c>
      <c r="CV93" s="297" t="e">
        <f>($S93)*EXP(-(Stoff!$N93*365+$U93)*CP93)+CS93</f>
        <v>#VALUE!</v>
      </c>
      <c r="CW93" s="297" t="e">
        <f>(Stoff!$P93*$S93+CU93)*EXP(-$T93*CP93)</f>
        <v>#VALUE!</v>
      </c>
      <c r="CX93" s="297">
        <f>IF(ISERROR(CV93),0,(CV93+CW93)*1000000000/('1a. Spredningsmodell input'!$C$36*1000))</f>
        <v>0</v>
      </c>
      <c r="CY93" s="297" t="e">
        <f>$G93*(1-EXP(-'1a. Spredningsmodell input'!$B$43*Mellomregninger!CP93))*(1-EXP(-'1a. Spredningsmodell input'!$B$46*Mellomregninger!CP93))</f>
        <v>#VALUE!</v>
      </c>
      <c r="CZ93" s="297"/>
      <c r="DA93" s="297"/>
      <c r="DB93" s="262">
        <f t="shared" si="47"/>
        <v>5</v>
      </c>
      <c r="DC93" s="298" t="e">
        <f>($S93+$Q93*($O93+$I93*($D93*(1-Stoff!$P93))*(1-EXP(-($F93+Stoff!$L93*365)*DB93)))*(1-EXP(-($N93+Stoff!$M93*365)*DB93)))</f>
        <v>#VALUE!</v>
      </c>
      <c r="DD93" s="294" t="e">
        <f t="shared" si="48"/>
        <v>#VALUE!</v>
      </c>
      <c r="DE93" s="296" t="e">
        <f>(DD93/1000000)*('1a. Spredningsmodell input'!$B$49)*'1a. Spredningsmodell input'!$C$35</f>
        <v>#VALUE!</v>
      </c>
      <c r="DF93" s="294" t="e">
        <f t="shared" si="49"/>
        <v>#VALUE!</v>
      </c>
      <c r="DG93" s="290" t="e">
        <f>(DF93/1000000)*('1a. Spredningsmodell input'!$B$49)*'1a. Spredningsmodell input'!$C$35</f>
        <v>#VALUE!</v>
      </c>
      <c r="DH93" s="297" t="e">
        <f>($S93)*EXP(-(Stoff!$N93*365+$U93)*DB93)+DE93</f>
        <v>#VALUE!</v>
      </c>
      <c r="DI93" s="297" t="e">
        <f>(Stoff!$P93*$S93+DG93)*EXP(-$T93*DB93)</f>
        <v>#VALUE!</v>
      </c>
      <c r="DJ93" s="297" t="e">
        <f>(DH93+DI93)*1000000000/('1a. Spredningsmodell input'!$C$36*1000)</f>
        <v>#VALUE!</v>
      </c>
      <c r="DK93" s="297" t="e">
        <f>$G93*(1-EXP(-'1a. Spredningsmodell input'!$B$43*Mellomregninger!DB93))*(1-EXP(-'1a. Spredningsmodell input'!$B$46*Mellomregninger!DB93))</f>
        <v>#VALUE!</v>
      </c>
      <c r="DL93" s="297"/>
      <c r="DM93" s="297"/>
      <c r="DN93" s="262">
        <f t="shared" si="50"/>
        <v>20</v>
      </c>
      <c r="DO93" s="298" t="e">
        <f>($S93+$Q93*($O93+$I93*($D93*(1-Stoff!$P93))*(1-EXP(-($F93+Stoff!$L93*365)*DN93)))*(1-EXP(-($N93+Stoff!$M93*365)*DN93)))</f>
        <v>#VALUE!</v>
      </c>
      <c r="DP93" s="294" t="e">
        <f t="shared" si="51"/>
        <v>#VALUE!</v>
      </c>
      <c r="DQ93" s="296" t="e">
        <f>(DP93/1000000)*('1a. Spredningsmodell input'!$B$49)*'1a. Spredningsmodell input'!$C$35</f>
        <v>#VALUE!</v>
      </c>
      <c r="DR93" s="294" t="e">
        <f t="shared" si="52"/>
        <v>#VALUE!</v>
      </c>
      <c r="DS93" s="290" t="e">
        <f>(DR93/1000000)*('1a. Spredningsmodell input'!$B$49)*'1a. Spredningsmodell input'!$C$35</f>
        <v>#VALUE!</v>
      </c>
      <c r="DT93" s="297" t="e">
        <f>($S93)*EXP(-(Stoff!$N93*365+$U93)*DN93)+DQ93</f>
        <v>#VALUE!</v>
      </c>
      <c r="DU93" s="297" t="e">
        <f>(Stoff!$P93*$S93+DS93)*EXP(-$T93*DN93)</f>
        <v>#VALUE!</v>
      </c>
      <c r="DV93" s="297" t="e">
        <f>(DT93+DU93)*1000000000/('1a. Spredningsmodell input'!$C$36*1000)</f>
        <v>#VALUE!</v>
      </c>
      <c r="DW93" s="297" t="e">
        <f>$G93*(1-EXP(-'1a. Spredningsmodell input'!$B$43*Mellomregninger!DN93))*(1-EXP(-'1a. Spredningsmodell input'!$B$46*Mellomregninger!DN93))</f>
        <v>#VALUE!</v>
      </c>
      <c r="DX93" s="297"/>
      <c r="DY93" s="297"/>
      <c r="DZ93" s="262">
        <f t="shared" si="53"/>
        <v>100</v>
      </c>
      <c r="EA93" s="298" t="e">
        <f>($S93+$Q93*($O93+$I93*($D93*(1-Stoff!$P93))*(1-EXP(-($F93+Stoff!$L93*365)*DZ93)))*(1-EXP(-($N93+Stoff!$M93*365)*DZ93)))</f>
        <v>#VALUE!</v>
      </c>
      <c r="EB93" s="294" t="e">
        <f t="shared" si="54"/>
        <v>#VALUE!</v>
      </c>
      <c r="EC93" s="296" t="e">
        <f>(EB93/1000000)*('1a. Spredningsmodell input'!$B$49)*'1a. Spredningsmodell input'!$C$35</f>
        <v>#VALUE!</v>
      </c>
      <c r="ED93" s="294" t="e">
        <f t="shared" si="55"/>
        <v>#VALUE!</v>
      </c>
      <c r="EE93" s="290" t="e">
        <f>(ED93/1000000)*('1a. Spredningsmodell input'!$B$49)*'1a. Spredningsmodell input'!$C$35</f>
        <v>#VALUE!</v>
      </c>
      <c r="EF93" s="297" t="e">
        <f>($S93)*EXP(-(Stoff!$N93*365+$U93)*DZ93)+EC93</f>
        <v>#VALUE!</v>
      </c>
      <c r="EG93" s="297" t="e">
        <f>(Stoff!$P93*$S93+EE93)*EXP(-$T93*DZ93)</f>
        <v>#VALUE!</v>
      </c>
      <c r="EH93" s="297" t="e">
        <f>(EF93+EG93)*1000000000/('1a. Spredningsmodell input'!$C$36*1000)</f>
        <v>#VALUE!</v>
      </c>
      <c r="EI93" s="297" t="e">
        <f>$G93*(1-EXP(-'1a. Spredningsmodell input'!$B$43*Mellomregninger!DZ93))*(1-EXP(-'1a. Spredningsmodell input'!$B$46*Mellomregninger!DZ93))</f>
        <v>#VALUE!</v>
      </c>
      <c r="EJ93" s="297"/>
      <c r="EK93" s="297"/>
      <c r="EL93" s="262">
        <f t="shared" si="56"/>
        <v>1.0000000000000001E+25</v>
      </c>
      <c r="EM93" s="294" t="e">
        <f>($S93+$Q93*($O93+$I93*($D93*(1-Stoff!$P93))*(1-EXP(-($F93+Stoff!$L93*365)*EL93)))*(1-EXP(-($N93+Stoff!$M93*365)*EL93)))</f>
        <v>#VALUE!</v>
      </c>
      <c r="EN93" s="296" t="e">
        <f>($S93+$Q93*($O93+$I93*($D93*(1-Stoff!$P93))*(1-EXP(-($F93+Stoff!$L93*365)*(EL93-'1a. Spredningsmodell input'!$C$35))))*(1-EXP(-($N93+Stoff!$M93*365)*(EL93-'1a. Spredningsmodell input'!$C$35))))</f>
        <v>#VALUE!</v>
      </c>
      <c r="EO93" s="294" t="e">
        <f>IF(EL93&lt;'1a. Spredningsmodell input'!$C$35,EM93-($S93)*EXP(-(Stoff!$N93*365+$U93)*EL93),EM93-EN93)</f>
        <v>#VALUE!</v>
      </c>
      <c r="EP93" s="290" t="e">
        <f>((($D93*(Stoff!$P93))*(1-EXP(-'1a. Spredningsmodell input'!$B$43*EL93)))*(1-EXP(-'1a. Spredningsmodell input'!$B$46*EL93)))</f>
        <v>#VALUE!</v>
      </c>
      <c r="EQ93" s="294" t="e">
        <f>((($D93*(Stoff!$P93))*(1-EXP(-'1a. Spredningsmodell input'!$B$43*(EL93-'1a. Spredningsmodell input'!$C$35))))*(1-EXP(-'1a. Spredningsmodell input'!$B$46*(EL93-'1a. Spredningsmodell input'!$C$35))))</f>
        <v>#VALUE!</v>
      </c>
      <c r="ER93" s="290" t="e">
        <f>IF(EL93&lt;'1a. Spredningsmodell input'!$C$35,0,EP93-EQ93)</f>
        <v>#VALUE!</v>
      </c>
      <c r="ES93" s="297" t="e">
        <f>($S93)*EXP(-(Stoff!$N93*365+$U93)*EL93)+EO93</f>
        <v>#VALUE!</v>
      </c>
      <c r="ET93" s="297" t="e">
        <f>(Stoff!$P93*$S93+ER93)*EXP(-$T93*EL93)</f>
        <v>#VALUE!</v>
      </c>
      <c r="EU93" s="297" t="e">
        <f>(ES93+ET93)*1000000000/('1a. Spredningsmodell input'!$C$36*1000)</f>
        <v>#VALUE!</v>
      </c>
      <c r="EV93" s="262" t="e">
        <f t="shared" si="57"/>
        <v>#VALUE!</v>
      </c>
      <c r="EW93" s="299" t="e">
        <f t="shared" si="58"/>
        <v>#VALUE!</v>
      </c>
      <c r="EX93" s="262" t="e">
        <f t="shared" si="59"/>
        <v>#VALUE!</v>
      </c>
    </row>
    <row r="94" spans="1:154" x14ac:dyDescent="0.35">
      <c r="A94" s="301" t="str">
        <f>Stoff!A94</f>
        <v>nystoff 8</v>
      </c>
      <c r="B94" s="34" t="str">
        <f>IF(ISNUMBER('1c. Kons. porevann'!E94),1000*'1c. Kons. porevann'!E94,IF(ISNUMBER('1b. Kons. umettet jord'!E94),1000*'1b. Kons. umettet jord'!E94/C94,""))</f>
        <v/>
      </c>
      <c r="C94" s="244">
        <f>IF(Stoff!B94="uorganisk",Stoff!C94,Stoff!D94*'1a. Spredningsmodell input'!$C$11)</f>
        <v>0</v>
      </c>
      <c r="D94" s="34" t="str">
        <f>IF(ISNUMBER(B94),0.000001*('1b. Kons. umettet jord'!G94*'1a. Spredningsmodell input'!$C$12+B94*0.001*'1a. Spredningsmodell input'!$C$14)*1000*'1a. Spredningsmodell input'!$B$41*'1a. Spredningsmodell input'!$C$18,"")</f>
        <v/>
      </c>
      <c r="E94" s="283">
        <f>C94*'1a. Spredningsmodell input'!$C$12/'1a. Spredningsmodell input'!$C$14+1</f>
        <v>1</v>
      </c>
      <c r="F94" s="284">
        <f>'1a. Spredningsmodell input'!$B$43/E94</f>
        <v>1.4999999999999998</v>
      </c>
      <c r="G94" s="34" t="e">
        <f>Stoff!P94*Mellomregninger!D94</f>
        <v>#VALUE!</v>
      </c>
      <c r="H94" s="283" t="e">
        <f>(D94-G94)*(F94/(F94+Stoff!L94))</f>
        <v>#VALUE!</v>
      </c>
      <c r="I94" s="283">
        <f>F94/(F94+Stoff!L94)</f>
        <v>1</v>
      </c>
      <c r="J94" s="285" t="str">
        <f>IF(B94="","",IF(ISNUMBER('1d. Kons. mettet sone'!E94),'1d. Kons. mettet sone'!E94,IF(ISNUMBER('1e. Kons. grunnvann'!E94),'1e. Kons. grunnvann'!E94*Mellomregninger!K94,0)))</f>
        <v/>
      </c>
      <c r="K94" s="286">
        <f>IF(Stoff!B94="uorganisk",Stoff!C94,Stoff!D94*'1a. Spredningsmodell input'!$C$24)</f>
        <v>0</v>
      </c>
      <c r="L94" s="27" t="e">
        <f>IF(ISNUMBER('1e. Kons. grunnvann'!E94),1000*'1e. Kons. grunnvann'!E94,1000*J94/K94)</f>
        <v>#VALUE!</v>
      </c>
      <c r="M94" s="34">
        <f>K94*'1a. Spredningsmodell input'!$C$25/'1a. Spredningsmodell input'!$C$26+1</f>
        <v>1</v>
      </c>
      <c r="N94" s="284">
        <f>'1a. Spredningsmodell input'!$C$26/M94</f>
        <v>0.4</v>
      </c>
      <c r="O94" s="287" t="e">
        <f>0.000000001*(J94*'1a. Spredningsmodell input'!$C$25+L94)*1000*'1a. Spredningsmodell input'!$B$45</f>
        <v>#VALUE!</v>
      </c>
      <c r="P94" s="287" t="e">
        <f>O94*Stoff!P94</f>
        <v>#VALUE!</v>
      </c>
      <c r="Q94" s="287">
        <f>N94/(N94+Stoff!M94)</f>
        <v>1</v>
      </c>
      <c r="R94" s="288">
        <f>IF(ISNUMBER('1f. Kons. resipient'!E94),'1f. Kons. resipient'!E94,0)</f>
        <v>0</v>
      </c>
      <c r="S94" s="288">
        <f>0.000000001*'1a. Spredningsmodell input'!$C$36*R94*1000</f>
        <v>0</v>
      </c>
      <c r="T94" s="288">
        <f>1/'1a. Spredningsmodell input'!$C$35</f>
        <v>1</v>
      </c>
      <c r="U94" s="288">
        <f>1/'1a. Spredningsmodell input'!$C$35</f>
        <v>1</v>
      </c>
      <c r="V94" s="300" t="e">
        <f>(1/($N94+Stoff!$L94))*(LN(($D94*$I94/($D94*$I94+$J94))*($F94+Stoff!$L94+$N94+Stoff!$M94)/($N94+Stoff!$M94)))</f>
        <v>#VALUE!</v>
      </c>
      <c r="W94" s="290" t="e">
        <f>($D94-Stoff!$P94*$D94)*EXP(-($F94+Stoff!$L94*365)*V94)</f>
        <v>#VALUE!</v>
      </c>
      <c r="X94" s="291" t="e">
        <f>(Stoff!$P94*$D94)*EXP(-'1a. Spredningsmodell input'!$B$43*V94)</f>
        <v>#VALUE!</v>
      </c>
      <c r="Y94" s="290" t="e">
        <f>($D94-Stoff!$P94*$D94-W94)*($F94/($F94+Stoff!$L94*365))</f>
        <v>#VALUE!</v>
      </c>
      <c r="Z94" s="290" t="e">
        <f>(Stoff!$P94*$D94)-X94</f>
        <v>#VALUE!</v>
      </c>
      <c r="AA94" s="290" t="e">
        <f>($O94+Y94)*EXP(-($N94+Stoff!$M94*365)*V94)</f>
        <v>#VALUE!</v>
      </c>
      <c r="AB94" s="290" t="e">
        <f>(Stoff!$P94*$O94+Z94)*EXP(-('1a. Spredningsmodell input'!$B$46)*V94)</f>
        <v>#VALUE!</v>
      </c>
      <c r="AC94" s="292" t="e">
        <f>((AA94+AB94)*1000000000)/('1a. Spredningsmodell input'!$B$45*1000)</f>
        <v>#VALUE!</v>
      </c>
      <c r="AD94" s="294" t="e">
        <f>0.001*AC94/('1a. Spredningsmodell input'!$C$25+'1a. Spredningsmodell input'!$C$26/Mellomregninger!$K94)</f>
        <v>#VALUE!</v>
      </c>
      <c r="AE94" s="294" t="e">
        <f>1000*AD94/$K94+AB94*1000000000/('1a. Spredningsmodell input'!$B$45*1000)</f>
        <v>#VALUE!</v>
      </c>
      <c r="AF94" s="294" t="e">
        <f t="shared" si="35"/>
        <v>#VALUE!</v>
      </c>
      <c r="AG94" s="294" t="e">
        <f>AB94*1000000000/('1a. Spredningsmodell input'!$B$45*1000)</f>
        <v>#VALUE!</v>
      </c>
      <c r="AH94" s="300" t="e">
        <f>(1/('1a. Spredningsmodell input'!$B$46))*(LN(($D94*Stoff!$P94/($D94*Stoff!$P94+$P94*Stoff!$P94))*('1a. Spredningsmodell input'!$B$43+'1a. Spredningsmodell input'!$B$46)/('1a. Spredningsmodell input'!$B$46)))</f>
        <v>#VALUE!</v>
      </c>
      <c r="AI94" s="290" t="e">
        <f>($D94-Stoff!$P94*$D94)*EXP(-($F94+Stoff!$L94*365)*AH94)</f>
        <v>#VALUE!</v>
      </c>
      <c r="AJ94" s="291" t="e">
        <f>(Stoff!$P94*$D94)*EXP(-'1a. Spredningsmodell input'!$B$43*AH94)</f>
        <v>#VALUE!</v>
      </c>
      <c r="AK94" s="290" t="e">
        <f>($D94-Stoff!$P94*$D94-AI94)*($F94/($F94+Stoff!$L94*365))</f>
        <v>#VALUE!</v>
      </c>
      <c r="AL94" s="290" t="e">
        <f>(Stoff!$P94*$D94)-AJ94</f>
        <v>#VALUE!</v>
      </c>
      <c r="AM94" s="290" t="e">
        <f>($O94+AK94)*EXP(-($N94+Stoff!$M94*365)*AH94)</f>
        <v>#VALUE!</v>
      </c>
      <c r="AN94" s="290" t="e">
        <f>(Stoff!$P94*$O94+AL94)*EXP(-('1a. Spredningsmodell input'!$B$46)*AH94)</f>
        <v>#VALUE!</v>
      </c>
      <c r="AO94" s="292" t="e">
        <f>((AM94+AN94)*1000000000)/('1a. Spredningsmodell input'!$B$45*1000)</f>
        <v>#VALUE!</v>
      </c>
      <c r="AP94" s="294" t="e">
        <f>0.001*AO94/('1a. Spredningsmodell input'!$C$25+'1a. Spredningsmodell input'!$C$26/Mellomregninger!$K94)</f>
        <v>#VALUE!</v>
      </c>
      <c r="AQ94" s="294" t="e">
        <f>1000*AP94/$K94+AN94*1000000000/('1a. Spredningsmodell input'!$B$45*1000)</f>
        <v>#VALUE!</v>
      </c>
      <c r="AR94" s="294" t="e">
        <f t="shared" si="36"/>
        <v>#VALUE!</v>
      </c>
      <c r="AS94" s="294" t="e">
        <f>AN94*1000000000/('1a. Spredningsmodell input'!$B$45*1000)</f>
        <v>#VALUE!</v>
      </c>
      <c r="AT94" s="295">
        <f t="shared" si="37"/>
        <v>5</v>
      </c>
      <c r="AU94" s="290" t="e">
        <f>($D94-Stoff!$P94*$D94)*EXP(-($F94+Stoff!$L94*365)*AT94)</f>
        <v>#VALUE!</v>
      </c>
      <c r="AV94" s="291" t="e">
        <f>(Stoff!$P94*$D94)*EXP(-'1a. Spredningsmodell input'!$B$43*AT94)</f>
        <v>#VALUE!</v>
      </c>
      <c r="AW94" s="290" t="e">
        <f>($D94-Stoff!$P94*$D94-AU94)*($F94/($F94+Stoff!$L94*365))</f>
        <v>#VALUE!</v>
      </c>
      <c r="AX94" s="290" t="e">
        <f>(Stoff!$P94*$D94)-AV94</f>
        <v>#VALUE!</v>
      </c>
      <c r="AY94" s="290" t="e">
        <f>($O94+AW94)*EXP(-($N94+Stoff!$M94*365)*AT94)</f>
        <v>#VALUE!</v>
      </c>
      <c r="AZ94" s="290" t="e">
        <f>(Stoff!$P94*$O94+AX94)*EXP(-('1a. Spredningsmodell input'!$B$46)*AT94)</f>
        <v>#VALUE!</v>
      </c>
      <c r="BA94" s="292" t="e">
        <f>((AY94+AZ94)*1000000000)/('1a. Spredningsmodell input'!$B$45*1000)</f>
        <v>#VALUE!</v>
      </c>
      <c r="BB94" s="294" t="e">
        <f>0.001*BA94/('1a. Spredningsmodell input'!$C$25+'1a. Spredningsmodell input'!$C$26/Mellomregninger!$K94)</f>
        <v>#VALUE!</v>
      </c>
      <c r="BC94" s="294" t="e">
        <f>1000*BB94/$K94+AZ94*1000000000/('1a. Spredningsmodell input'!$B$45*1000)</f>
        <v>#VALUE!</v>
      </c>
      <c r="BD94" s="294" t="e">
        <f t="shared" si="38"/>
        <v>#VALUE!</v>
      </c>
      <c r="BE94" s="294" t="e">
        <f>AZ94*1000000000/('1a. Spredningsmodell input'!$B$45*1000)</f>
        <v>#VALUE!</v>
      </c>
      <c r="BF94" s="295">
        <f t="shared" si="39"/>
        <v>20</v>
      </c>
      <c r="BG94" s="290" t="e">
        <f>($D94-Stoff!$P94*$D94)*EXP(-($F94+Stoff!$L94*365)*BF94)</f>
        <v>#VALUE!</v>
      </c>
      <c r="BH94" s="291" t="e">
        <f>(Stoff!$P94*$D94)*EXP(-'1a. Spredningsmodell input'!$B$43*BF94)</f>
        <v>#VALUE!</v>
      </c>
      <c r="BI94" s="290" t="e">
        <f>($D94-Stoff!$P94*$D94-BG94)*($F94/($F94+Stoff!$L94*365))</f>
        <v>#VALUE!</v>
      </c>
      <c r="BJ94" s="290" t="e">
        <f>(Stoff!$P94*$D94)-BH94</f>
        <v>#VALUE!</v>
      </c>
      <c r="BK94" s="290" t="e">
        <f>($O94+BI94)*EXP(-($N94+Stoff!$M94*365)*BF94)</f>
        <v>#VALUE!</v>
      </c>
      <c r="BL94" s="290" t="e">
        <f>(Stoff!$P94*$O94+BJ94)*EXP(-('1a. Spredningsmodell input'!$B$46)*BF94)</f>
        <v>#VALUE!</v>
      </c>
      <c r="BM94" s="292" t="e">
        <f>((BK94+BL94)*1000000000)/('1a. Spredningsmodell input'!$B$45*1000)</f>
        <v>#VALUE!</v>
      </c>
      <c r="BN94" s="294" t="e">
        <f>0.001*BM94/('1a. Spredningsmodell input'!$C$25+'1a. Spredningsmodell input'!$C$26/Mellomregninger!$K94)</f>
        <v>#VALUE!</v>
      </c>
      <c r="BO94" s="294" t="e">
        <f>1000*BN94/$K94+BL94*1000000000/('1a. Spredningsmodell input'!$B$45*1000)</f>
        <v>#VALUE!</v>
      </c>
      <c r="BP94" s="294" t="e">
        <f t="shared" si="40"/>
        <v>#VALUE!</v>
      </c>
      <c r="BQ94" s="294" t="e">
        <f>BL94*1000000000/('1a. Spredningsmodell input'!$B$45*1000)</f>
        <v>#VALUE!</v>
      </c>
      <c r="BR94" s="295">
        <f t="shared" si="41"/>
        <v>100</v>
      </c>
      <c r="BS94" s="290" t="e">
        <f>($D94-Stoff!$P94*$D94)*EXP(-($F94+Stoff!$L94*365)*BR94)</f>
        <v>#VALUE!</v>
      </c>
      <c r="BT94" s="291" t="e">
        <f>(Stoff!$P94*$D94)*EXP(-'1a. Spredningsmodell input'!$B$43*BR94)</f>
        <v>#VALUE!</v>
      </c>
      <c r="BU94" s="290" t="e">
        <f>($D94-Stoff!$P94*$D94-BS94)*($F94/($F94+Stoff!$L94*365))</f>
        <v>#VALUE!</v>
      </c>
      <c r="BV94" s="290" t="e">
        <f>(Stoff!$P94*$D94)-BT94</f>
        <v>#VALUE!</v>
      </c>
      <c r="BW94" s="290" t="e">
        <f>($O94+BU94)*EXP(-($N94+Stoff!$M94*365)*BR94)</f>
        <v>#VALUE!</v>
      </c>
      <c r="BX94" s="290" t="e">
        <f>(Stoff!$P94*$O94+BV94)*EXP(-('1a. Spredningsmodell input'!$B$46)*BR94)</f>
        <v>#VALUE!</v>
      </c>
      <c r="BY94" s="292" t="e">
        <f>((BW94+BX94)*1000000000)/('1a. Spredningsmodell input'!$B$45*1000)</f>
        <v>#VALUE!</v>
      </c>
      <c r="BZ94" s="294" t="e">
        <f>0.001*BY94/('1a. Spredningsmodell input'!$C$25+'1a. Spredningsmodell input'!$C$26/Mellomregninger!$K94)</f>
        <v>#VALUE!</v>
      </c>
      <c r="CA94" s="294" t="e">
        <f>1000*BZ94/$K94+BX94*1000000000/('1a. Spredningsmodell input'!$B$45*1000)</f>
        <v>#VALUE!</v>
      </c>
      <c r="CB94" s="294" t="e">
        <f t="shared" si="42"/>
        <v>#VALUE!</v>
      </c>
      <c r="CC94" s="294" t="e">
        <f>BX94*1000000000/('1a. Spredningsmodell input'!$B$45*1000)</f>
        <v>#VALUE!</v>
      </c>
      <c r="CD94" s="294" t="e">
        <f>V94+'1a. Spredningsmodell input'!$C$35</f>
        <v>#VALUE!</v>
      </c>
      <c r="CE94" s="294" t="e">
        <f>($S94+$Q94*($O94+$I94*($D94*(1-Stoff!$P94))*(1-EXP(-($F94+Stoff!$L94*365)*CD94)))*(1-EXP(-($N94+Stoff!$M94*365)*CD94)))</f>
        <v>#VALUE!</v>
      </c>
      <c r="CF94" s="294" t="e">
        <f t="shared" si="43"/>
        <v>#VALUE!</v>
      </c>
      <c r="CG94" s="296" t="e">
        <f>(CF94/1000000)*'1a. Spredningsmodell input'!$B$49*'1a. Spredningsmodell input'!$C$35</f>
        <v>#VALUE!</v>
      </c>
      <c r="CH94" s="294" t="e">
        <f t="shared" si="44"/>
        <v>#VALUE!</v>
      </c>
      <c r="CI94" s="290" t="e">
        <f>(CH94/1000000)*'1a. Spredningsmodell input'!$B$49*'1a. Spredningsmodell input'!$C$35</f>
        <v>#VALUE!</v>
      </c>
      <c r="CJ94" s="297" t="e">
        <f>($S94)*EXP(-(Stoff!$N94*365+$U94)*CD94)+CG94</f>
        <v>#VALUE!</v>
      </c>
      <c r="CK94" s="297" t="e">
        <f>(Stoff!$P94*$S94+CI94)*EXP(-$T94*CD94)</f>
        <v>#VALUE!</v>
      </c>
      <c r="CL94" s="297" t="e">
        <f>(CJ94+CK94)*1000000000/('1a. Spredningsmodell input'!$C$36*1000)</f>
        <v>#VALUE!</v>
      </c>
      <c r="CM94" s="297" t="e">
        <f>$G94*(1-EXP(-'1a. Spredningsmodell input'!$B$43*Mellomregninger!CD94))*(1-EXP(-'1a. Spredningsmodell input'!$B$46*Mellomregninger!CD94))</f>
        <v>#VALUE!</v>
      </c>
      <c r="CN94" s="297"/>
      <c r="CO94" s="297"/>
      <c r="CP94" s="290">
        <f>IF(ISNUMBER(AH94),AH94+'1a. Spredningsmodell input'!$C$35,'1a. Spredningsmodell input'!$C$35)</f>
        <v>1</v>
      </c>
      <c r="CQ94" s="294" t="e">
        <f>($S94+$Q94*($O94+$I94*($D94*(1-Stoff!$P94))*(1-EXP(-($F94+Stoff!$L94*365)*CP94)))*(1-EXP(-($N94+Stoff!$M94*365)*CP94)))</f>
        <v>#VALUE!</v>
      </c>
      <c r="CR94" s="294" t="e">
        <f t="shared" si="45"/>
        <v>#VALUE!</v>
      </c>
      <c r="CS94" s="296" t="e">
        <f>(CR94/1000000)*('1a. Spredningsmodell input'!$B$49*'1a. Spredningsmodell input'!$C$35)</f>
        <v>#VALUE!</v>
      </c>
      <c r="CT94" s="294" t="e">
        <f t="shared" si="46"/>
        <v>#VALUE!</v>
      </c>
      <c r="CU94" s="290" t="e">
        <f>(CT94/1000000)*('1a. Spredningsmodell input'!$B$49)*'1a. Spredningsmodell input'!$C$35</f>
        <v>#VALUE!</v>
      </c>
      <c r="CV94" s="297" t="e">
        <f>($S94)*EXP(-(Stoff!$N94*365+$U94)*CP94)+CS94</f>
        <v>#VALUE!</v>
      </c>
      <c r="CW94" s="297" t="e">
        <f>(Stoff!$P94*$S94+CU94)*EXP(-$T94*CP94)</f>
        <v>#VALUE!</v>
      </c>
      <c r="CX94" s="297">
        <f>IF(ISERROR(CV94),0,(CV94+CW94)*1000000000/('1a. Spredningsmodell input'!$C$36*1000))</f>
        <v>0</v>
      </c>
      <c r="CY94" s="297" t="e">
        <f>$G94*(1-EXP(-'1a. Spredningsmodell input'!$B$43*Mellomregninger!CP94))*(1-EXP(-'1a. Spredningsmodell input'!$B$46*Mellomregninger!CP94))</f>
        <v>#VALUE!</v>
      </c>
      <c r="CZ94" s="297"/>
      <c r="DA94" s="297"/>
      <c r="DB94" s="262">
        <f t="shared" si="47"/>
        <v>5</v>
      </c>
      <c r="DC94" s="298" t="e">
        <f>($S94+$Q94*($O94+$I94*($D94*(1-Stoff!$P94))*(1-EXP(-($F94+Stoff!$L94*365)*DB94)))*(1-EXP(-($N94+Stoff!$M94*365)*DB94)))</f>
        <v>#VALUE!</v>
      </c>
      <c r="DD94" s="294" t="e">
        <f t="shared" si="48"/>
        <v>#VALUE!</v>
      </c>
      <c r="DE94" s="296" t="e">
        <f>(DD94/1000000)*('1a. Spredningsmodell input'!$B$49)*'1a. Spredningsmodell input'!$C$35</f>
        <v>#VALUE!</v>
      </c>
      <c r="DF94" s="294" t="e">
        <f t="shared" si="49"/>
        <v>#VALUE!</v>
      </c>
      <c r="DG94" s="290" t="e">
        <f>(DF94/1000000)*('1a. Spredningsmodell input'!$B$49)*'1a. Spredningsmodell input'!$C$35</f>
        <v>#VALUE!</v>
      </c>
      <c r="DH94" s="297" t="e">
        <f>($S94)*EXP(-(Stoff!$N94*365+$U94)*DB94)+DE94</f>
        <v>#VALUE!</v>
      </c>
      <c r="DI94" s="297" t="e">
        <f>(Stoff!$P94*$S94+DG94)*EXP(-$T94*DB94)</f>
        <v>#VALUE!</v>
      </c>
      <c r="DJ94" s="297" t="e">
        <f>(DH94+DI94)*1000000000/('1a. Spredningsmodell input'!$C$36*1000)</f>
        <v>#VALUE!</v>
      </c>
      <c r="DK94" s="297" t="e">
        <f>$G94*(1-EXP(-'1a. Spredningsmodell input'!$B$43*Mellomregninger!DB94))*(1-EXP(-'1a. Spredningsmodell input'!$B$46*Mellomregninger!DB94))</f>
        <v>#VALUE!</v>
      </c>
      <c r="DL94" s="297"/>
      <c r="DM94" s="297"/>
      <c r="DN94" s="262">
        <f t="shared" si="50"/>
        <v>20</v>
      </c>
      <c r="DO94" s="298" t="e">
        <f>($S94+$Q94*($O94+$I94*($D94*(1-Stoff!$P94))*(1-EXP(-($F94+Stoff!$L94*365)*DN94)))*(1-EXP(-($N94+Stoff!$M94*365)*DN94)))</f>
        <v>#VALUE!</v>
      </c>
      <c r="DP94" s="294" t="e">
        <f t="shared" si="51"/>
        <v>#VALUE!</v>
      </c>
      <c r="DQ94" s="296" t="e">
        <f>(DP94/1000000)*('1a. Spredningsmodell input'!$B$49)*'1a. Spredningsmodell input'!$C$35</f>
        <v>#VALUE!</v>
      </c>
      <c r="DR94" s="294" t="e">
        <f t="shared" si="52"/>
        <v>#VALUE!</v>
      </c>
      <c r="DS94" s="290" t="e">
        <f>(DR94/1000000)*('1a. Spredningsmodell input'!$B$49)*'1a. Spredningsmodell input'!$C$35</f>
        <v>#VALUE!</v>
      </c>
      <c r="DT94" s="297" t="e">
        <f>($S94)*EXP(-(Stoff!$N94*365+$U94)*DN94)+DQ94</f>
        <v>#VALUE!</v>
      </c>
      <c r="DU94" s="297" t="e">
        <f>(Stoff!$P94*$S94+DS94)*EXP(-$T94*DN94)</f>
        <v>#VALUE!</v>
      </c>
      <c r="DV94" s="297" t="e">
        <f>(DT94+DU94)*1000000000/('1a. Spredningsmodell input'!$C$36*1000)</f>
        <v>#VALUE!</v>
      </c>
      <c r="DW94" s="297" t="e">
        <f>$G94*(1-EXP(-'1a. Spredningsmodell input'!$B$43*Mellomregninger!DN94))*(1-EXP(-'1a. Spredningsmodell input'!$B$46*Mellomregninger!DN94))</f>
        <v>#VALUE!</v>
      </c>
      <c r="DX94" s="297"/>
      <c r="DY94" s="297"/>
      <c r="DZ94" s="262">
        <f t="shared" si="53"/>
        <v>100</v>
      </c>
      <c r="EA94" s="298" t="e">
        <f>($S94+$Q94*($O94+$I94*($D94*(1-Stoff!$P94))*(1-EXP(-($F94+Stoff!$L94*365)*DZ94)))*(1-EXP(-($N94+Stoff!$M94*365)*DZ94)))</f>
        <v>#VALUE!</v>
      </c>
      <c r="EB94" s="294" t="e">
        <f t="shared" si="54"/>
        <v>#VALUE!</v>
      </c>
      <c r="EC94" s="296" t="e">
        <f>(EB94/1000000)*('1a. Spredningsmodell input'!$B$49)*'1a. Spredningsmodell input'!$C$35</f>
        <v>#VALUE!</v>
      </c>
      <c r="ED94" s="294" t="e">
        <f t="shared" si="55"/>
        <v>#VALUE!</v>
      </c>
      <c r="EE94" s="290" t="e">
        <f>(ED94/1000000)*('1a. Spredningsmodell input'!$B$49)*'1a. Spredningsmodell input'!$C$35</f>
        <v>#VALUE!</v>
      </c>
      <c r="EF94" s="297" t="e">
        <f>($S94)*EXP(-(Stoff!$N94*365+$U94)*DZ94)+EC94</f>
        <v>#VALUE!</v>
      </c>
      <c r="EG94" s="297" t="e">
        <f>(Stoff!$P94*$S94+EE94)*EXP(-$T94*DZ94)</f>
        <v>#VALUE!</v>
      </c>
      <c r="EH94" s="297" t="e">
        <f>(EF94+EG94)*1000000000/('1a. Spredningsmodell input'!$C$36*1000)</f>
        <v>#VALUE!</v>
      </c>
      <c r="EI94" s="297" t="e">
        <f>$G94*(1-EXP(-'1a. Spredningsmodell input'!$B$43*Mellomregninger!DZ94))*(1-EXP(-'1a. Spredningsmodell input'!$B$46*Mellomregninger!DZ94))</f>
        <v>#VALUE!</v>
      </c>
      <c r="EJ94" s="297"/>
      <c r="EK94" s="297"/>
      <c r="EL94" s="262">
        <f t="shared" si="56"/>
        <v>1.0000000000000001E+25</v>
      </c>
      <c r="EM94" s="294" t="e">
        <f>($S94+$Q94*($O94+$I94*($D94*(1-Stoff!$P94))*(1-EXP(-($F94+Stoff!$L94*365)*EL94)))*(1-EXP(-($N94+Stoff!$M94*365)*EL94)))</f>
        <v>#VALUE!</v>
      </c>
      <c r="EN94" s="296" t="e">
        <f>($S94+$Q94*($O94+$I94*($D94*(1-Stoff!$P94))*(1-EXP(-($F94+Stoff!$L94*365)*(EL94-'1a. Spredningsmodell input'!$C$35))))*(1-EXP(-($N94+Stoff!$M94*365)*(EL94-'1a. Spredningsmodell input'!$C$35))))</f>
        <v>#VALUE!</v>
      </c>
      <c r="EO94" s="294" t="e">
        <f>IF(EL94&lt;'1a. Spredningsmodell input'!$C$35,EM94-($S94)*EXP(-(Stoff!$N94*365+$U94)*EL94),EM94-EN94)</f>
        <v>#VALUE!</v>
      </c>
      <c r="EP94" s="290" t="e">
        <f>((($D94*(Stoff!$P94))*(1-EXP(-'1a. Spredningsmodell input'!$B$43*EL94)))*(1-EXP(-'1a. Spredningsmodell input'!$B$46*EL94)))</f>
        <v>#VALUE!</v>
      </c>
      <c r="EQ94" s="294" t="e">
        <f>((($D94*(Stoff!$P94))*(1-EXP(-'1a. Spredningsmodell input'!$B$43*(EL94-'1a. Spredningsmodell input'!$C$35))))*(1-EXP(-'1a. Spredningsmodell input'!$B$46*(EL94-'1a. Spredningsmodell input'!$C$35))))</f>
        <v>#VALUE!</v>
      </c>
      <c r="ER94" s="290" t="e">
        <f>IF(EL94&lt;'1a. Spredningsmodell input'!$C$35,0,EP94-EQ94)</f>
        <v>#VALUE!</v>
      </c>
      <c r="ES94" s="297" t="e">
        <f>($S94)*EXP(-(Stoff!$N94*365+$U94)*EL94)+EO94</f>
        <v>#VALUE!</v>
      </c>
      <c r="ET94" s="297" t="e">
        <f>(Stoff!$P94*$S94+ER94)*EXP(-$T94*EL94)</f>
        <v>#VALUE!</v>
      </c>
      <c r="EU94" s="297" t="e">
        <f>(ES94+ET94)*1000000000/('1a. Spredningsmodell input'!$C$36*1000)</f>
        <v>#VALUE!</v>
      </c>
      <c r="EV94" s="262" t="e">
        <f t="shared" si="57"/>
        <v>#VALUE!</v>
      </c>
      <c r="EW94" s="299" t="e">
        <f t="shared" si="58"/>
        <v>#VALUE!</v>
      </c>
      <c r="EX94" s="262" t="e">
        <f t="shared" si="59"/>
        <v>#VALUE!</v>
      </c>
    </row>
    <row r="95" spans="1:154" x14ac:dyDescent="0.35">
      <c r="A95" s="301" t="str">
        <f>Stoff!A95</f>
        <v>nystoff 9</v>
      </c>
      <c r="B95" s="34" t="str">
        <f>IF(ISNUMBER('1c. Kons. porevann'!E95),1000*'1c. Kons. porevann'!E95,IF(ISNUMBER('1b. Kons. umettet jord'!E95),1000*'1b. Kons. umettet jord'!E95/C95,""))</f>
        <v/>
      </c>
      <c r="C95" s="244">
        <f>IF(Stoff!B95="uorganisk",Stoff!C95,Stoff!D95*'1a. Spredningsmodell input'!$C$11)</f>
        <v>0</v>
      </c>
      <c r="D95" s="34" t="str">
        <f>IF(ISNUMBER(B95),0.000001*('1b. Kons. umettet jord'!G95*'1a. Spredningsmodell input'!$C$12+B95*0.001*'1a. Spredningsmodell input'!$C$14)*1000*'1a. Spredningsmodell input'!$B$41*'1a. Spredningsmodell input'!$C$18,"")</f>
        <v/>
      </c>
      <c r="E95" s="283">
        <f>C95*'1a. Spredningsmodell input'!$C$12/'1a. Spredningsmodell input'!$C$14+1</f>
        <v>1</v>
      </c>
      <c r="F95" s="284">
        <f>'1a. Spredningsmodell input'!$B$43/E95</f>
        <v>1.4999999999999998</v>
      </c>
      <c r="G95" s="34" t="e">
        <f>Stoff!P95*Mellomregninger!D95</f>
        <v>#VALUE!</v>
      </c>
      <c r="H95" s="283" t="e">
        <f>(D95-G95)*(F95/(F95+Stoff!L95))</f>
        <v>#VALUE!</v>
      </c>
      <c r="I95" s="283">
        <f>F95/(F95+Stoff!L95)</f>
        <v>1</v>
      </c>
      <c r="J95" s="285" t="str">
        <f>IF(B95="","",IF(ISNUMBER('1d. Kons. mettet sone'!E95),'1d. Kons. mettet sone'!E95,IF(ISNUMBER('1e. Kons. grunnvann'!E95),'1e. Kons. grunnvann'!E95*Mellomregninger!K95,0)))</f>
        <v/>
      </c>
      <c r="K95" s="286">
        <f>IF(Stoff!B95="uorganisk",Stoff!C95,Stoff!D95*'1a. Spredningsmodell input'!$C$24)</f>
        <v>0</v>
      </c>
      <c r="L95" s="27" t="e">
        <f>IF(ISNUMBER('1e. Kons. grunnvann'!E95),1000*'1e. Kons. grunnvann'!E95,1000*J95/K95)</f>
        <v>#VALUE!</v>
      </c>
      <c r="M95" s="34">
        <f>K95*'1a. Spredningsmodell input'!$C$25/'1a. Spredningsmodell input'!$C$26+1</f>
        <v>1</v>
      </c>
      <c r="N95" s="284">
        <f>'1a. Spredningsmodell input'!$C$26/M95</f>
        <v>0.4</v>
      </c>
      <c r="O95" s="287" t="e">
        <f>0.000000001*(J95*'1a. Spredningsmodell input'!$C$25+L95)*1000*'1a. Spredningsmodell input'!$B$45</f>
        <v>#VALUE!</v>
      </c>
      <c r="P95" s="287" t="e">
        <f>O95*Stoff!P95</f>
        <v>#VALUE!</v>
      </c>
      <c r="Q95" s="287">
        <f>N95/(N95+Stoff!M95)</f>
        <v>1</v>
      </c>
      <c r="R95" s="288">
        <f>IF(ISNUMBER('1f. Kons. resipient'!E95),'1f. Kons. resipient'!E95,0)</f>
        <v>0</v>
      </c>
      <c r="S95" s="288">
        <f>0.000000001*'1a. Spredningsmodell input'!$C$36*R95*1000</f>
        <v>0</v>
      </c>
      <c r="T95" s="288">
        <f>1/'1a. Spredningsmodell input'!$C$35</f>
        <v>1</v>
      </c>
      <c r="U95" s="288">
        <f>1/'1a. Spredningsmodell input'!$C$35</f>
        <v>1</v>
      </c>
      <c r="V95" s="300" t="e">
        <f>(1/($N95+Stoff!$L95))*(LN(($D95*$I95/($D95*$I95+$J95))*($F95+Stoff!$L95+$N95+Stoff!$M95)/($N95+Stoff!$M95)))</f>
        <v>#VALUE!</v>
      </c>
      <c r="W95" s="290" t="e">
        <f>($D95-Stoff!$P95*$D95)*EXP(-($F95+Stoff!$L95*365)*V95)</f>
        <v>#VALUE!</v>
      </c>
      <c r="X95" s="291" t="e">
        <f>(Stoff!$P95*$D95)*EXP(-'1a. Spredningsmodell input'!$B$43*V95)</f>
        <v>#VALUE!</v>
      </c>
      <c r="Y95" s="290" t="e">
        <f>($D95-Stoff!$P95*$D95-W95)*($F95/($F95+Stoff!$L95*365))</f>
        <v>#VALUE!</v>
      </c>
      <c r="Z95" s="290" t="e">
        <f>(Stoff!$P95*$D95)-X95</f>
        <v>#VALUE!</v>
      </c>
      <c r="AA95" s="290" t="e">
        <f>($O95+Y95)*EXP(-($N95+Stoff!$M95*365)*V95)</f>
        <v>#VALUE!</v>
      </c>
      <c r="AB95" s="290" t="e">
        <f>(Stoff!$P95*$O95+Z95)*EXP(-('1a. Spredningsmodell input'!$B$46)*V95)</f>
        <v>#VALUE!</v>
      </c>
      <c r="AC95" s="292" t="e">
        <f>((AA95+AB95)*1000000000)/('1a. Spredningsmodell input'!$B$45*1000)</f>
        <v>#VALUE!</v>
      </c>
      <c r="AD95" s="294" t="e">
        <f>0.001*AC95/('1a. Spredningsmodell input'!$C$25+'1a. Spredningsmodell input'!$C$26/Mellomregninger!$K95)</f>
        <v>#VALUE!</v>
      </c>
      <c r="AE95" s="294" t="e">
        <f>1000*AD95/$K95+AB95*1000000000/('1a. Spredningsmodell input'!$B$45*1000)</f>
        <v>#VALUE!</v>
      </c>
      <c r="AF95" s="294" t="e">
        <f t="shared" si="35"/>
        <v>#VALUE!</v>
      </c>
      <c r="AG95" s="294" t="e">
        <f>AB95*1000000000/('1a. Spredningsmodell input'!$B$45*1000)</f>
        <v>#VALUE!</v>
      </c>
      <c r="AH95" s="300" t="e">
        <f>(1/('1a. Spredningsmodell input'!$B$46))*(LN(($D95*Stoff!$P95/($D95*Stoff!$P95+$P95*Stoff!$P95))*('1a. Spredningsmodell input'!$B$43+'1a. Spredningsmodell input'!$B$46)/('1a. Spredningsmodell input'!$B$46)))</f>
        <v>#VALUE!</v>
      </c>
      <c r="AI95" s="290" t="e">
        <f>($D95-Stoff!$P95*$D95)*EXP(-($F95+Stoff!$L95*365)*AH95)</f>
        <v>#VALUE!</v>
      </c>
      <c r="AJ95" s="291" t="e">
        <f>(Stoff!$P95*$D95)*EXP(-'1a. Spredningsmodell input'!$B$43*AH95)</f>
        <v>#VALUE!</v>
      </c>
      <c r="AK95" s="290" t="e">
        <f>($D95-Stoff!$P95*$D95-AI95)*($F95/($F95+Stoff!$L95*365))</f>
        <v>#VALUE!</v>
      </c>
      <c r="AL95" s="290" t="e">
        <f>(Stoff!$P95*$D95)-AJ95</f>
        <v>#VALUE!</v>
      </c>
      <c r="AM95" s="290" t="e">
        <f>($O95+AK95)*EXP(-($N95+Stoff!$M95*365)*AH95)</f>
        <v>#VALUE!</v>
      </c>
      <c r="AN95" s="290" t="e">
        <f>(Stoff!$P95*$O95+AL95)*EXP(-('1a. Spredningsmodell input'!$B$46)*AH95)</f>
        <v>#VALUE!</v>
      </c>
      <c r="AO95" s="292" t="e">
        <f>((AM95+AN95)*1000000000)/('1a. Spredningsmodell input'!$B$45*1000)</f>
        <v>#VALUE!</v>
      </c>
      <c r="AP95" s="294" t="e">
        <f>0.001*AO95/('1a. Spredningsmodell input'!$C$25+'1a. Spredningsmodell input'!$C$26/Mellomregninger!$K95)</f>
        <v>#VALUE!</v>
      </c>
      <c r="AQ95" s="294" t="e">
        <f>1000*AP95/$K95+AN95*1000000000/('1a. Spredningsmodell input'!$B$45*1000)</f>
        <v>#VALUE!</v>
      </c>
      <c r="AR95" s="294" t="e">
        <f t="shared" si="36"/>
        <v>#VALUE!</v>
      </c>
      <c r="AS95" s="294" t="e">
        <f>AN95*1000000000/('1a. Spredningsmodell input'!$B$45*1000)</f>
        <v>#VALUE!</v>
      </c>
      <c r="AT95" s="295">
        <f t="shared" si="37"/>
        <v>5</v>
      </c>
      <c r="AU95" s="290" t="e">
        <f>($D95-Stoff!$P95*$D95)*EXP(-($F95+Stoff!$L95*365)*AT95)</f>
        <v>#VALUE!</v>
      </c>
      <c r="AV95" s="291" t="e">
        <f>(Stoff!$P95*$D95)*EXP(-'1a. Spredningsmodell input'!$B$43*AT95)</f>
        <v>#VALUE!</v>
      </c>
      <c r="AW95" s="290" t="e">
        <f>($D95-Stoff!$P95*$D95-AU95)*($F95/($F95+Stoff!$L95*365))</f>
        <v>#VALUE!</v>
      </c>
      <c r="AX95" s="290" t="e">
        <f>(Stoff!$P95*$D95)-AV95</f>
        <v>#VALUE!</v>
      </c>
      <c r="AY95" s="290" t="e">
        <f>($O95+AW95)*EXP(-($N95+Stoff!$M95*365)*AT95)</f>
        <v>#VALUE!</v>
      </c>
      <c r="AZ95" s="290" t="e">
        <f>(Stoff!$P95*$O95+AX95)*EXP(-('1a. Spredningsmodell input'!$B$46)*AT95)</f>
        <v>#VALUE!</v>
      </c>
      <c r="BA95" s="292" t="e">
        <f>((AY95+AZ95)*1000000000)/('1a. Spredningsmodell input'!$B$45*1000)</f>
        <v>#VALUE!</v>
      </c>
      <c r="BB95" s="294" t="e">
        <f>0.001*BA95/('1a. Spredningsmodell input'!$C$25+'1a. Spredningsmodell input'!$C$26/Mellomregninger!$K95)</f>
        <v>#VALUE!</v>
      </c>
      <c r="BC95" s="294" t="e">
        <f>1000*BB95/$K95+AZ95*1000000000/('1a. Spredningsmodell input'!$B$45*1000)</f>
        <v>#VALUE!</v>
      </c>
      <c r="BD95" s="294" t="e">
        <f t="shared" si="38"/>
        <v>#VALUE!</v>
      </c>
      <c r="BE95" s="294" t="e">
        <f>AZ95*1000000000/('1a. Spredningsmodell input'!$B$45*1000)</f>
        <v>#VALUE!</v>
      </c>
      <c r="BF95" s="295">
        <f t="shared" si="39"/>
        <v>20</v>
      </c>
      <c r="BG95" s="290" t="e">
        <f>($D95-Stoff!$P95*$D95)*EXP(-($F95+Stoff!$L95*365)*BF95)</f>
        <v>#VALUE!</v>
      </c>
      <c r="BH95" s="291" t="e">
        <f>(Stoff!$P95*$D95)*EXP(-'1a. Spredningsmodell input'!$B$43*BF95)</f>
        <v>#VALUE!</v>
      </c>
      <c r="BI95" s="290" t="e">
        <f>($D95-Stoff!$P95*$D95-BG95)*($F95/($F95+Stoff!$L95*365))</f>
        <v>#VALUE!</v>
      </c>
      <c r="BJ95" s="290" t="e">
        <f>(Stoff!$P95*$D95)-BH95</f>
        <v>#VALUE!</v>
      </c>
      <c r="BK95" s="290" t="e">
        <f>($O95+BI95)*EXP(-($N95+Stoff!$M95*365)*BF95)</f>
        <v>#VALUE!</v>
      </c>
      <c r="BL95" s="290" t="e">
        <f>(Stoff!$P95*$O95+BJ95)*EXP(-('1a. Spredningsmodell input'!$B$46)*BF95)</f>
        <v>#VALUE!</v>
      </c>
      <c r="BM95" s="292" t="e">
        <f>((BK95+BL95)*1000000000)/('1a. Spredningsmodell input'!$B$45*1000)</f>
        <v>#VALUE!</v>
      </c>
      <c r="BN95" s="294" t="e">
        <f>0.001*BM95/('1a. Spredningsmodell input'!$C$25+'1a. Spredningsmodell input'!$C$26/Mellomregninger!$K95)</f>
        <v>#VALUE!</v>
      </c>
      <c r="BO95" s="294" t="e">
        <f>1000*BN95/$K95+BL95*1000000000/('1a. Spredningsmodell input'!$B$45*1000)</f>
        <v>#VALUE!</v>
      </c>
      <c r="BP95" s="294" t="e">
        <f t="shared" si="40"/>
        <v>#VALUE!</v>
      </c>
      <c r="BQ95" s="294" t="e">
        <f>BL95*1000000000/('1a. Spredningsmodell input'!$B$45*1000)</f>
        <v>#VALUE!</v>
      </c>
      <c r="BR95" s="295">
        <f t="shared" si="41"/>
        <v>100</v>
      </c>
      <c r="BS95" s="290" t="e">
        <f>($D95-Stoff!$P95*$D95)*EXP(-($F95+Stoff!$L95*365)*BR95)</f>
        <v>#VALUE!</v>
      </c>
      <c r="BT95" s="291" t="e">
        <f>(Stoff!$P95*$D95)*EXP(-'1a. Spredningsmodell input'!$B$43*BR95)</f>
        <v>#VALUE!</v>
      </c>
      <c r="BU95" s="290" t="e">
        <f>($D95-Stoff!$P95*$D95-BS95)*($F95/($F95+Stoff!$L95*365))</f>
        <v>#VALUE!</v>
      </c>
      <c r="BV95" s="290" t="e">
        <f>(Stoff!$P95*$D95)-BT95</f>
        <v>#VALUE!</v>
      </c>
      <c r="BW95" s="290" t="e">
        <f>($O95+BU95)*EXP(-($N95+Stoff!$M95*365)*BR95)</f>
        <v>#VALUE!</v>
      </c>
      <c r="BX95" s="290" t="e">
        <f>(Stoff!$P95*$O95+BV95)*EXP(-('1a. Spredningsmodell input'!$B$46)*BR95)</f>
        <v>#VALUE!</v>
      </c>
      <c r="BY95" s="292" t="e">
        <f>((BW95+BX95)*1000000000)/('1a. Spredningsmodell input'!$B$45*1000)</f>
        <v>#VALUE!</v>
      </c>
      <c r="BZ95" s="294" t="e">
        <f>0.001*BY95/('1a. Spredningsmodell input'!$C$25+'1a. Spredningsmodell input'!$C$26/Mellomregninger!$K95)</f>
        <v>#VALUE!</v>
      </c>
      <c r="CA95" s="294" t="e">
        <f>1000*BZ95/$K95+BX95*1000000000/('1a. Spredningsmodell input'!$B$45*1000)</f>
        <v>#VALUE!</v>
      </c>
      <c r="CB95" s="294" t="e">
        <f t="shared" si="42"/>
        <v>#VALUE!</v>
      </c>
      <c r="CC95" s="294" t="e">
        <f>BX95*1000000000/('1a. Spredningsmodell input'!$B$45*1000)</f>
        <v>#VALUE!</v>
      </c>
      <c r="CD95" s="294" t="e">
        <f>V95+'1a. Spredningsmodell input'!$C$35</f>
        <v>#VALUE!</v>
      </c>
      <c r="CE95" s="294" t="e">
        <f>($S95+$Q95*($O95+$I95*($D95*(1-Stoff!$P95))*(1-EXP(-($F95+Stoff!$L95*365)*CD95)))*(1-EXP(-($N95+Stoff!$M95*365)*CD95)))</f>
        <v>#VALUE!</v>
      </c>
      <c r="CF95" s="294" t="e">
        <f t="shared" si="43"/>
        <v>#VALUE!</v>
      </c>
      <c r="CG95" s="296" t="e">
        <f>(CF95/1000000)*'1a. Spredningsmodell input'!$B$49*'1a. Spredningsmodell input'!$C$35</f>
        <v>#VALUE!</v>
      </c>
      <c r="CH95" s="294" t="e">
        <f t="shared" si="44"/>
        <v>#VALUE!</v>
      </c>
      <c r="CI95" s="290" t="e">
        <f>(CH95/1000000)*'1a. Spredningsmodell input'!$B$49*'1a. Spredningsmodell input'!$C$35</f>
        <v>#VALUE!</v>
      </c>
      <c r="CJ95" s="297" t="e">
        <f>($S95)*EXP(-(Stoff!$N95*365+$U95)*CD95)+CG95</f>
        <v>#VALUE!</v>
      </c>
      <c r="CK95" s="297" t="e">
        <f>(Stoff!$P95*$S95+CI95)*EXP(-$T95*CD95)</f>
        <v>#VALUE!</v>
      </c>
      <c r="CL95" s="297" t="e">
        <f>(CJ95+CK95)*1000000000/('1a. Spredningsmodell input'!$C$36*1000)</f>
        <v>#VALUE!</v>
      </c>
      <c r="CM95" s="297" t="e">
        <f>$G95*(1-EXP(-'1a. Spredningsmodell input'!$B$43*Mellomregninger!CD95))*(1-EXP(-'1a. Spredningsmodell input'!$B$46*Mellomregninger!CD95))</f>
        <v>#VALUE!</v>
      </c>
      <c r="CN95" s="297"/>
      <c r="CO95" s="297"/>
      <c r="CP95" s="290">
        <f>IF(ISNUMBER(AH95),AH95+'1a. Spredningsmodell input'!$C$35,'1a. Spredningsmodell input'!$C$35)</f>
        <v>1</v>
      </c>
      <c r="CQ95" s="294" t="e">
        <f>($S95+$Q95*($O95+$I95*($D95*(1-Stoff!$P95))*(1-EXP(-($F95+Stoff!$L95*365)*CP95)))*(1-EXP(-($N95+Stoff!$M95*365)*CP95)))</f>
        <v>#VALUE!</v>
      </c>
      <c r="CR95" s="294" t="e">
        <f t="shared" si="45"/>
        <v>#VALUE!</v>
      </c>
      <c r="CS95" s="296" t="e">
        <f>(CR95/1000000)*('1a. Spredningsmodell input'!$B$49*'1a. Spredningsmodell input'!$C$35)</f>
        <v>#VALUE!</v>
      </c>
      <c r="CT95" s="294" t="e">
        <f t="shared" si="46"/>
        <v>#VALUE!</v>
      </c>
      <c r="CU95" s="290" t="e">
        <f>(CT95/1000000)*('1a. Spredningsmodell input'!$B$49)*'1a. Spredningsmodell input'!$C$35</f>
        <v>#VALUE!</v>
      </c>
      <c r="CV95" s="297" t="e">
        <f>($S95)*EXP(-(Stoff!$N95*365+$U95)*CP95)+CS95</f>
        <v>#VALUE!</v>
      </c>
      <c r="CW95" s="297" t="e">
        <f>(Stoff!$P95*$S95+CU95)*EXP(-$T95*CP95)</f>
        <v>#VALUE!</v>
      </c>
      <c r="CX95" s="297">
        <f>IF(ISERROR(CV95),0,(CV95+CW95)*1000000000/('1a. Spredningsmodell input'!$C$36*1000))</f>
        <v>0</v>
      </c>
      <c r="CY95" s="297" t="e">
        <f>$G95*(1-EXP(-'1a. Spredningsmodell input'!$B$43*Mellomregninger!CP95))*(1-EXP(-'1a. Spredningsmodell input'!$B$46*Mellomregninger!CP95))</f>
        <v>#VALUE!</v>
      </c>
      <c r="CZ95" s="297"/>
      <c r="DA95" s="297"/>
      <c r="DB95" s="262">
        <f t="shared" si="47"/>
        <v>5</v>
      </c>
      <c r="DC95" s="298" t="e">
        <f>($S95+$Q95*($O95+$I95*($D95*(1-Stoff!$P95))*(1-EXP(-($F95+Stoff!$L95*365)*DB95)))*(1-EXP(-($N95+Stoff!$M95*365)*DB95)))</f>
        <v>#VALUE!</v>
      </c>
      <c r="DD95" s="294" t="e">
        <f t="shared" si="48"/>
        <v>#VALUE!</v>
      </c>
      <c r="DE95" s="296" t="e">
        <f>(DD95/1000000)*('1a. Spredningsmodell input'!$B$49)*'1a. Spredningsmodell input'!$C$35</f>
        <v>#VALUE!</v>
      </c>
      <c r="DF95" s="294" t="e">
        <f t="shared" si="49"/>
        <v>#VALUE!</v>
      </c>
      <c r="DG95" s="290" t="e">
        <f>(DF95/1000000)*('1a. Spredningsmodell input'!$B$49)*'1a. Spredningsmodell input'!$C$35</f>
        <v>#VALUE!</v>
      </c>
      <c r="DH95" s="297" t="e">
        <f>($S95)*EXP(-(Stoff!$N95*365+$U95)*DB95)+DE95</f>
        <v>#VALUE!</v>
      </c>
      <c r="DI95" s="297" t="e">
        <f>(Stoff!$P95*$S95+DG95)*EXP(-$T95*DB95)</f>
        <v>#VALUE!</v>
      </c>
      <c r="DJ95" s="297" t="e">
        <f>(DH95+DI95)*1000000000/('1a. Spredningsmodell input'!$C$36*1000)</f>
        <v>#VALUE!</v>
      </c>
      <c r="DK95" s="297" t="e">
        <f>$G95*(1-EXP(-'1a. Spredningsmodell input'!$B$43*Mellomregninger!DB95))*(1-EXP(-'1a. Spredningsmodell input'!$B$46*Mellomregninger!DB95))</f>
        <v>#VALUE!</v>
      </c>
      <c r="DL95" s="297"/>
      <c r="DM95" s="297"/>
      <c r="DN95" s="262">
        <f t="shared" si="50"/>
        <v>20</v>
      </c>
      <c r="DO95" s="298" t="e">
        <f>($S95+$Q95*($O95+$I95*($D95*(1-Stoff!$P95))*(1-EXP(-($F95+Stoff!$L95*365)*DN95)))*(1-EXP(-($N95+Stoff!$M95*365)*DN95)))</f>
        <v>#VALUE!</v>
      </c>
      <c r="DP95" s="294" t="e">
        <f t="shared" si="51"/>
        <v>#VALUE!</v>
      </c>
      <c r="DQ95" s="296" t="e">
        <f>(DP95/1000000)*('1a. Spredningsmodell input'!$B$49)*'1a. Spredningsmodell input'!$C$35</f>
        <v>#VALUE!</v>
      </c>
      <c r="DR95" s="294" t="e">
        <f t="shared" si="52"/>
        <v>#VALUE!</v>
      </c>
      <c r="DS95" s="290" t="e">
        <f>(DR95/1000000)*('1a. Spredningsmodell input'!$B$49)*'1a. Spredningsmodell input'!$C$35</f>
        <v>#VALUE!</v>
      </c>
      <c r="DT95" s="297" t="e">
        <f>($S95)*EXP(-(Stoff!$N95*365+$U95)*DN95)+DQ95</f>
        <v>#VALUE!</v>
      </c>
      <c r="DU95" s="297" t="e">
        <f>(Stoff!$P95*$S95+DS95)*EXP(-$T95*DN95)</f>
        <v>#VALUE!</v>
      </c>
      <c r="DV95" s="297" t="e">
        <f>(DT95+DU95)*1000000000/('1a. Spredningsmodell input'!$C$36*1000)</f>
        <v>#VALUE!</v>
      </c>
      <c r="DW95" s="297" t="e">
        <f>$G95*(1-EXP(-'1a. Spredningsmodell input'!$B$43*Mellomregninger!DN95))*(1-EXP(-'1a. Spredningsmodell input'!$B$46*Mellomregninger!DN95))</f>
        <v>#VALUE!</v>
      </c>
      <c r="DX95" s="297"/>
      <c r="DY95" s="297"/>
      <c r="DZ95" s="262">
        <f t="shared" si="53"/>
        <v>100</v>
      </c>
      <c r="EA95" s="298" t="e">
        <f>($S95+$Q95*($O95+$I95*($D95*(1-Stoff!$P95))*(1-EXP(-($F95+Stoff!$L95*365)*DZ95)))*(1-EXP(-($N95+Stoff!$M95*365)*DZ95)))</f>
        <v>#VALUE!</v>
      </c>
      <c r="EB95" s="294" t="e">
        <f t="shared" si="54"/>
        <v>#VALUE!</v>
      </c>
      <c r="EC95" s="296" t="e">
        <f>(EB95/1000000)*('1a. Spredningsmodell input'!$B$49)*'1a. Spredningsmodell input'!$C$35</f>
        <v>#VALUE!</v>
      </c>
      <c r="ED95" s="294" t="e">
        <f t="shared" si="55"/>
        <v>#VALUE!</v>
      </c>
      <c r="EE95" s="290" t="e">
        <f>(ED95/1000000)*('1a. Spredningsmodell input'!$B$49)*'1a. Spredningsmodell input'!$C$35</f>
        <v>#VALUE!</v>
      </c>
      <c r="EF95" s="297" t="e">
        <f>($S95)*EXP(-(Stoff!$N95*365+$U95)*DZ95)+EC95</f>
        <v>#VALUE!</v>
      </c>
      <c r="EG95" s="297" t="e">
        <f>(Stoff!$P95*$S95+EE95)*EXP(-$T95*DZ95)</f>
        <v>#VALUE!</v>
      </c>
      <c r="EH95" s="297" t="e">
        <f>(EF95+EG95)*1000000000/('1a. Spredningsmodell input'!$C$36*1000)</f>
        <v>#VALUE!</v>
      </c>
      <c r="EI95" s="297" t="e">
        <f>$G95*(1-EXP(-'1a. Spredningsmodell input'!$B$43*Mellomregninger!DZ95))*(1-EXP(-'1a. Spredningsmodell input'!$B$46*Mellomregninger!DZ95))</f>
        <v>#VALUE!</v>
      </c>
      <c r="EJ95" s="297"/>
      <c r="EK95" s="297"/>
      <c r="EL95" s="262">
        <f t="shared" si="56"/>
        <v>1.0000000000000001E+25</v>
      </c>
      <c r="EM95" s="294" t="e">
        <f>($S95+$Q95*($O95+$I95*($D95*(1-Stoff!$P95))*(1-EXP(-($F95+Stoff!$L95*365)*EL95)))*(1-EXP(-($N95+Stoff!$M95*365)*EL95)))</f>
        <v>#VALUE!</v>
      </c>
      <c r="EN95" s="296" t="e">
        <f>($S95+$Q95*($O95+$I95*($D95*(1-Stoff!$P95))*(1-EXP(-($F95+Stoff!$L95*365)*(EL95-'1a. Spredningsmodell input'!$C$35))))*(1-EXP(-($N95+Stoff!$M95*365)*(EL95-'1a. Spredningsmodell input'!$C$35))))</f>
        <v>#VALUE!</v>
      </c>
      <c r="EO95" s="294" t="e">
        <f>IF(EL95&lt;'1a. Spredningsmodell input'!$C$35,EM95-($S95)*EXP(-(Stoff!$N95*365+$U95)*EL95),EM95-EN95)</f>
        <v>#VALUE!</v>
      </c>
      <c r="EP95" s="290" t="e">
        <f>((($D95*(Stoff!$P95))*(1-EXP(-'1a. Spredningsmodell input'!$B$43*EL95)))*(1-EXP(-'1a. Spredningsmodell input'!$B$46*EL95)))</f>
        <v>#VALUE!</v>
      </c>
      <c r="EQ95" s="294" t="e">
        <f>((($D95*(Stoff!$P95))*(1-EXP(-'1a. Spredningsmodell input'!$B$43*(EL95-'1a. Spredningsmodell input'!$C$35))))*(1-EXP(-'1a. Spredningsmodell input'!$B$46*(EL95-'1a. Spredningsmodell input'!$C$35))))</f>
        <v>#VALUE!</v>
      </c>
      <c r="ER95" s="290" t="e">
        <f>IF(EL95&lt;'1a. Spredningsmodell input'!$C$35,0,EP95-EQ95)</f>
        <v>#VALUE!</v>
      </c>
      <c r="ES95" s="297" t="e">
        <f>($S95)*EXP(-(Stoff!$N95*365+$U95)*EL95)+EO95</f>
        <v>#VALUE!</v>
      </c>
      <c r="ET95" s="297" t="e">
        <f>(Stoff!$P95*$S95+ER95)*EXP(-$T95*EL95)</f>
        <v>#VALUE!</v>
      </c>
      <c r="EU95" s="297" t="e">
        <f>(ES95+ET95)*1000000000/('1a. Spredningsmodell input'!$C$36*1000)</f>
        <v>#VALUE!</v>
      </c>
      <c r="EV95" s="262" t="e">
        <f t="shared" si="57"/>
        <v>#VALUE!</v>
      </c>
      <c r="EW95" s="299" t="e">
        <f t="shared" si="58"/>
        <v>#VALUE!</v>
      </c>
      <c r="EX95" s="262" t="e">
        <f t="shared" si="59"/>
        <v>#VALUE!</v>
      </c>
    </row>
    <row r="96" spans="1:154" x14ac:dyDescent="0.35">
      <c r="A96" s="301" t="str">
        <f>Stoff!A96</f>
        <v>nystoff 10</v>
      </c>
      <c r="B96" s="34" t="str">
        <f>IF(ISNUMBER('1c. Kons. porevann'!E96),1000*'1c. Kons. porevann'!E96,IF(ISNUMBER('1b. Kons. umettet jord'!E96),1000*'1b. Kons. umettet jord'!E96/C96,""))</f>
        <v/>
      </c>
      <c r="C96" s="244">
        <f>IF(Stoff!B96="uorganisk",Stoff!C96,Stoff!D96*'1a. Spredningsmodell input'!$C$11)</f>
        <v>0</v>
      </c>
      <c r="D96" s="34" t="str">
        <f>IF(ISNUMBER(B96),0.000001*('1b. Kons. umettet jord'!G96*'1a. Spredningsmodell input'!$C$12+B96*0.001*'1a. Spredningsmodell input'!$C$14)*1000*'1a. Spredningsmodell input'!$B$41*'1a. Spredningsmodell input'!$C$18,"")</f>
        <v/>
      </c>
      <c r="E96" s="283">
        <f>C96*'1a. Spredningsmodell input'!$C$12/'1a. Spredningsmodell input'!$C$14+1</f>
        <v>1</v>
      </c>
      <c r="F96" s="284">
        <f>'1a. Spredningsmodell input'!$B$43/E96</f>
        <v>1.4999999999999998</v>
      </c>
      <c r="G96" s="34" t="e">
        <f>Stoff!P96*Mellomregninger!D96</f>
        <v>#VALUE!</v>
      </c>
      <c r="H96" s="283" t="e">
        <f>(D96-G96)*(F96/(F96+Stoff!L96))</f>
        <v>#VALUE!</v>
      </c>
      <c r="I96" s="283">
        <f>F96/(F96+Stoff!L96)</f>
        <v>1</v>
      </c>
      <c r="J96" s="285" t="str">
        <f>IF(B96="","",IF(ISNUMBER('1d. Kons. mettet sone'!E96),'1d. Kons. mettet sone'!E96,IF(ISNUMBER('1e. Kons. grunnvann'!E96),'1e. Kons. grunnvann'!E96*Mellomregninger!K96,0)))</f>
        <v/>
      </c>
      <c r="K96" s="286">
        <f>IF(Stoff!B96="uorganisk",Stoff!C96,Stoff!D96*'1a. Spredningsmodell input'!$C$24)</f>
        <v>0</v>
      </c>
      <c r="L96" s="27" t="e">
        <f>IF(ISNUMBER('1e. Kons. grunnvann'!E96),1000*'1e. Kons. grunnvann'!E96,1000*J96/K96)</f>
        <v>#VALUE!</v>
      </c>
      <c r="M96" s="34">
        <f>K96*'1a. Spredningsmodell input'!$C$25/'1a. Spredningsmodell input'!$C$26+1</f>
        <v>1</v>
      </c>
      <c r="N96" s="284">
        <f>'1a. Spredningsmodell input'!$C$26/M96</f>
        <v>0.4</v>
      </c>
      <c r="O96" s="287" t="e">
        <f>0.000000001*(J96*'1a. Spredningsmodell input'!$C$25+L96)*1000*'1a. Spredningsmodell input'!$B$45</f>
        <v>#VALUE!</v>
      </c>
      <c r="P96" s="287" t="e">
        <f>O96*Stoff!P96</f>
        <v>#VALUE!</v>
      </c>
      <c r="Q96" s="287">
        <f>N96/(N96+Stoff!M96)</f>
        <v>1</v>
      </c>
      <c r="R96" s="288">
        <f>IF(ISNUMBER('1f. Kons. resipient'!E96),'1f. Kons. resipient'!E96,0)</f>
        <v>0</v>
      </c>
      <c r="S96" s="288">
        <f>0.000000001*'1a. Spredningsmodell input'!$C$36*R96*1000</f>
        <v>0</v>
      </c>
      <c r="T96" s="288">
        <f>1/'1a. Spredningsmodell input'!$C$35</f>
        <v>1</v>
      </c>
      <c r="U96" s="288">
        <f>1/'1a. Spredningsmodell input'!$C$35</f>
        <v>1</v>
      </c>
      <c r="V96" s="300" t="e">
        <f>(1/($N96+Stoff!$L96))*(LN(($D96*$I96/($D96*$I96+$J96))*($F96+Stoff!$L96+$N96+Stoff!$M96)/($N96+Stoff!$M96)))</f>
        <v>#VALUE!</v>
      </c>
      <c r="W96" s="290" t="e">
        <f>($D96-Stoff!$P96*$D96)*EXP(-($F96+Stoff!$L96*365)*V96)</f>
        <v>#VALUE!</v>
      </c>
      <c r="X96" s="291" t="e">
        <f>(Stoff!$P96*$D96)*EXP(-'1a. Spredningsmodell input'!$B$43*V96)</f>
        <v>#VALUE!</v>
      </c>
      <c r="Y96" s="290" t="e">
        <f>($D96-Stoff!$P96*$D96-W96)*($F96/($F96+Stoff!$L96*365))</f>
        <v>#VALUE!</v>
      </c>
      <c r="Z96" s="290" t="e">
        <f>(Stoff!$P96*$D96)-X96</f>
        <v>#VALUE!</v>
      </c>
      <c r="AA96" s="290" t="e">
        <f>($O96+Y96)*EXP(-($N96+Stoff!$M96*365)*V96)</f>
        <v>#VALUE!</v>
      </c>
      <c r="AB96" s="290" t="e">
        <f>(Stoff!$P96*$O96+Z96)*EXP(-('1a. Spredningsmodell input'!$B$46)*V96)</f>
        <v>#VALUE!</v>
      </c>
      <c r="AC96" s="292" t="e">
        <f>((AA96+AB96)*1000000000)/('1a. Spredningsmodell input'!$B$45*1000)</f>
        <v>#VALUE!</v>
      </c>
      <c r="AD96" s="294" t="e">
        <f>0.001*AC96/('1a. Spredningsmodell input'!$C$25+'1a. Spredningsmodell input'!$C$26/Mellomregninger!$K96)</f>
        <v>#VALUE!</v>
      </c>
      <c r="AE96" s="294" t="e">
        <f>1000*AD96/$K96+AB96*1000000000/('1a. Spredningsmodell input'!$B$45*1000)</f>
        <v>#VALUE!</v>
      </c>
      <c r="AF96" s="294" t="e">
        <f t="shared" si="35"/>
        <v>#VALUE!</v>
      </c>
      <c r="AG96" s="294" t="e">
        <f>AB96*1000000000/('1a. Spredningsmodell input'!$B$45*1000)</f>
        <v>#VALUE!</v>
      </c>
      <c r="AH96" s="300" t="e">
        <f>(1/('1a. Spredningsmodell input'!$B$46))*(LN(($D96*Stoff!$P96/($D96*Stoff!$P96+$P96*Stoff!$P96))*('1a. Spredningsmodell input'!$B$43+'1a. Spredningsmodell input'!$B$46)/('1a. Spredningsmodell input'!$B$46)))</f>
        <v>#VALUE!</v>
      </c>
      <c r="AI96" s="290" t="e">
        <f>($D96-Stoff!$P96*$D96)*EXP(-($F96+Stoff!$L96*365)*AH96)</f>
        <v>#VALUE!</v>
      </c>
      <c r="AJ96" s="291" t="e">
        <f>(Stoff!$P96*$D96)*EXP(-'1a. Spredningsmodell input'!$B$43*AH96)</f>
        <v>#VALUE!</v>
      </c>
      <c r="AK96" s="290" t="e">
        <f>($D96-Stoff!$P96*$D96-AI96)*($F96/($F96+Stoff!$L96*365))</f>
        <v>#VALUE!</v>
      </c>
      <c r="AL96" s="290" t="e">
        <f>(Stoff!$P96*$D96)-AJ96</f>
        <v>#VALUE!</v>
      </c>
      <c r="AM96" s="290" t="e">
        <f>($O96+AK96)*EXP(-($N96+Stoff!$M96*365)*AH96)</f>
        <v>#VALUE!</v>
      </c>
      <c r="AN96" s="290" t="e">
        <f>(Stoff!$P96*$O96+AL96)*EXP(-('1a. Spredningsmodell input'!$B$46)*AH96)</f>
        <v>#VALUE!</v>
      </c>
      <c r="AO96" s="292" t="e">
        <f>((AM96+AN96)*1000000000)/('1a. Spredningsmodell input'!$B$45*1000)</f>
        <v>#VALUE!</v>
      </c>
      <c r="AP96" s="294" t="e">
        <f>0.001*AO96/('1a. Spredningsmodell input'!$C$25+'1a. Spredningsmodell input'!$C$26/Mellomregninger!$K96)</f>
        <v>#VALUE!</v>
      </c>
      <c r="AQ96" s="294" t="e">
        <f>1000*AP96/$K96+AN96*1000000000/('1a. Spredningsmodell input'!$B$45*1000)</f>
        <v>#VALUE!</v>
      </c>
      <c r="AR96" s="294" t="e">
        <f t="shared" si="36"/>
        <v>#VALUE!</v>
      </c>
      <c r="AS96" s="294" t="e">
        <f>AN96*1000000000/('1a. Spredningsmodell input'!$B$45*1000)</f>
        <v>#VALUE!</v>
      </c>
      <c r="AT96" s="295">
        <f t="shared" si="37"/>
        <v>5</v>
      </c>
      <c r="AU96" s="290" t="e">
        <f>($D96-Stoff!$P96*$D96)*EXP(-($F96+Stoff!$L96*365)*AT96)</f>
        <v>#VALUE!</v>
      </c>
      <c r="AV96" s="291" t="e">
        <f>(Stoff!$P96*$D96)*EXP(-'1a. Spredningsmodell input'!$B$43*AT96)</f>
        <v>#VALUE!</v>
      </c>
      <c r="AW96" s="290" t="e">
        <f>($D96-Stoff!$P96*$D96-AU96)*($F96/($F96+Stoff!$L96*365))</f>
        <v>#VALUE!</v>
      </c>
      <c r="AX96" s="290" t="e">
        <f>(Stoff!$P96*$D96)-AV96</f>
        <v>#VALUE!</v>
      </c>
      <c r="AY96" s="290" t="e">
        <f>($O96+AW96)*EXP(-($N96+Stoff!$M96*365)*AT96)</f>
        <v>#VALUE!</v>
      </c>
      <c r="AZ96" s="290" t="e">
        <f>(Stoff!$P96*$O96+AX96)*EXP(-('1a. Spredningsmodell input'!$B$46)*AT96)</f>
        <v>#VALUE!</v>
      </c>
      <c r="BA96" s="292" t="e">
        <f>((AY96+AZ96)*1000000000)/('1a. Spredningsmodell input'!$B$45*1000)</f>
        <v>#VALUE!</v>
      </c>
      <c r="BB96" s="294" t="e">
        <f>0.001*BA96/('1a. Spredningsmodell input'!$C$25+'1a. Spredningsmodell input'!$C$26/Mellomregninger!$K96)</f>
        <v>#VALUE!</v>
      </c>
      <c r="BC96" s="294" t="e">
        <f>1000*BB96/$K96+AZ96*1000000000/('1a. Spredningsmodell input'!$B$45*1000)</f>
        <v>#VALUE!</v>
      </c>
      <c r="BD96" s="294" t="e">
        <f t="shared" si="38"/>
        <v>#VALUE!</v>
      </c>
      <c r="BE96" s="294" t="e">
        <f>AZ96*1000000000/('1a. Spredningsmodell input'!$B$45*1000)</f>
        <v>#VALUE!</v>
      </c>
      <c r="BF96" s="295">
        <f t="shared" si="39"/>
        <v>20</v>
      </c>
      <c r="BG96" s="290" t="e">
        <f>($D96-Stoff!$P96*$D96)*EXP(-($F96+Stoff!$L96*365)*BF96)</f>
        <v>#VALUE!</v>
      </c>
      <c r="BH96" s="291" t="e">
        <f>(Stoff!$P96*$D96)*EXP(-'1a. Spredningsmodell input'!$B$43*BF96)</f>
        <v>#VALUE!</v>
      </c>
      <c r="BI96" s="290" t="e">
        <f>($D96-Stoff!$P96*$D96-BG96)*($F96/($F96+Stoff!$L96*365))</f>
        <v>#VALUE!</v>
      </c>
      <c r="BJ96" s="290" t="e">
        <f>(Stoff!$P96*$D96)-BH96</f>
        <v>#VALUE!</v>
      </c>
      <c r="BK96" s="290" t="e">
        <f>($O96+BI96)*EXP(-($N96+Stoff!$M96*365)*BF96)</f>
        <v>#VALUE!</v>
      </c>
      <c r="BL96" s="290" t="e">
        <f>(Stoff!$P96*$O96+BJ96)*EXP(-('1a. Spredningsmodell input'!$B$46)*BF96)</f>
        <v>#VALUE!</v>
      </c>
      <c r="BM96" s="292" t="e">
        <f>((BK96+BL96)*1000000000)/('1a. Spredningsmodell input'!$B$45*1000)</f>
        <v>#VALUE!</v>
      </c>
      <c r="BN96" s="294" t="e">
        <f>0.001*BM96/('1a. Spredningsmodell input'!$C$25+'1a. Spredningsmodell input'!$C$26/Mellomregninger!$K96)</f>
        <v>#VALUE!</v>
      </c>
      <c r="BO96" s="294" t="e">
        <f>1000*BN96/$K96+BL96*1000000000/('1a. Spredningsmodell input'!$B$45*1000)</f>
        <v>#VALUE!</v>
      </c>
      <c r="BP96" s="294" t="e">
        <f t="shared" si="40"/>
        <v>#VALUE!</v>
      </c>
      <c r="BQ96" s="294" t="e">
        <f>BL96*1000000000/('1a. Spredningsmodell input'!$B$45*1000)</f>
        <v>#VALUE!</v>
      </c>
      <c r="BR96" s="295">
        <f t="shared" si="41"/>
        <v>100</v>
      </c>
      <c r="BS96" s="290" t="e">
        <f>($D96-Stoff!$P96*$D96)*EXP(-($F96+Stoff!$L96*365)*BR96)</f>
        <v>#VALUE!</v>
      </c>
      <c r="BT96" s="291" t="e">
        <f>(Stoff!$P96*$D96)*EXP(-'1a. Spredningsmodell input'!$B$43*BR96)</f>
        <v>#VALUE!</v>
      </c>
      <c r="BU96" s="290" t="e">
        <f>($D96-Stoff!$P96*$D96-BS96)*($F96/($F96+Stoff!$L96*365))</f>
        <v>#VALUE!</v>
      </c>
      <c r="BV96" s="290" t="e">
        <f>(Stoff!$P96*$D96)-BT96</f>
        <v>#VALUE!</v>
      </c>
      <c r="BW96" s="290" t="e">
        <f>($O96+BU96)*EXP(-($N96+Stoff!$M96*365)*BR96)</f>
        <v>#VALUE!</v>
      </c>
      <c r="BX96" s="290" t="e">
        <f>(Stoff!$P96*$O96+BV96)*EXP(-('1a. Spredningsmodell input'!$B$46)*BR96)</f>
        <v>#VALUE!</v>
      </c>
      <c r="BY96" s="292" t="e">
        <f>((BW96+BX96)*1000000000)/('1a. Spredningsmodell input'!$B$45*1000)</f>
        <v>#VALUE!</v>
      </c>
      <c r="BZ96" s="294" t="e">
        <f>0.001*BY96/('1a. Spredningsmodell input'!$C$25+'1a. Spredningsmodell input'!$C$26/Mellomregninger!$K96)</f>
        <v>#VALUE!</v>
      </c>
      <c r="CA96" s="294" t="e">
        <f>1000*BZ96/$K96+BX96*1000000000/('1a. Spredningsmodell input'!$B$45*1000)</f>
        <v>#VALUE!</v>
      </c>
      <c r="CB96" s="294" t="e">
        <f t="shared" si="42"/>
        <v>#VALUE!</v>
      </c>
      <c r="CC96" s="294" t="e">
        <f>BX96*1000000000/('1a. Spredningsmodell input'!$B$45*1000)</f>
        <v>#VALUE!</v>
      </c>
      <c r="CD96" s="294" t="e">
        <f>V96+'1a. Spredningsmodell input'!$C$35</f>
        <v>#VALUE!</v>
      </c>
      <c r="CE96" s="294" t="e">
        <f>($S96+$Q96*($O96+$I96*($D96*(1-Stoff!$P96))*(1-EXP(-($F96+Stoff!$L96*365)*CD96)))*(1-EXP(-($N96+Stoff!$M96*365)*CD96)))</f>
        <v>#VALUE!</v>
      </c>
      <c r="CF96" s="294" t="e">
        <f t="shared" si="43"/>
        <v>#VALUE!</v>
      </c>
      <c r="CG96" s="296" t="e">
        <f>(CF96/1000000)*'1a. Spredningsmodell input'!$B$49*'1a. Spredningsmodell input'!$C$35</f>
        <v>#VALUE!</v>
      </c>
      <c r="CH96" s="294" t="e">
        <f t="shared" si="44"/>
        <v>#VALUE!</v>
      </c>
      <c r="CI96" s="290" t="e">
        <f>(CH96/1000000)*'1a. Spredningsmodell input'!$B$49*'1a. Spredningsmodell input'!$C$35</f>
        <v>#VALUE!</v>
      </c>
      <c r="CJ96" s="297" t="e">
        <f>($S96)*EXP(-(Stoff!$N96*365+$U96)*CD96)+CG96</f>
        <v>#VALUE!</v>
      </c>
      <c r="CK96" s="297" t="e">
        <f>(Stoff!$P96*$S96+CI96)*EXP(-$T96*CD96)</f>
        <v>#VALUE!</v>
      </c>
      <c r="CL96" s="297" t="e">
        <f>(CJ96+CK96)*1000000000/('1a. Spredningsmodell input'!$C$36*1000)</f>
        <v>#VALUE!</v>
      </c>
      <c r="CM96" s="297" t="e">
        <f>$G96*(1-EXP(-'1a. Spredningsmodell input'!$B$43*Mellomregninger!CD96))*(1-EXP(-'1a. Spredningsmodell input'!$B$46*Mellomregninger!CD96))</f>
        <v>#VALUE!</v>
      </c>
      <c r="CN96" s="297"/>
      <c r="CO96" s="297"/>
      <c r="CP96" s="290">
        <f>IF(ISNUMBER(AH96),AH96+'1a. Spredningsmodell input'!$C$35,'1a. Spredningsmodell input'!$C$35)</f>
        <v>1</v>
      </c>
      <c r="CQ96" s="294" t="e">
        <f>($S96+$Q96*($O96+$I96*($D96*(1-Stoff!$P96))*(1-EXP(-($F96+Stoff!$L96*365)*CP96)))*(1-EXP(-($N96+Stoff!$M96*365)*CP96)))</f>
        <v>#VALUE!</v>
      </c>
      <c r="CR96" s="294" t="e">
        <f t="shared" si="45"/>
        <v>#VALUE!</v>
      </c>
      <c r="CS96" s="296" t="e">
        <f>(CR96/1000000)*('1a. Spredningsmodell input'!$B$49*'1a. Spredningsmodell input'!$C$35)</f>
        <v>#VALUE!</v>
      </c>
      <c r="CT96" s="294" t="e">
        <f t="shared" si="46"/>
        <v>#VALUE!</v>
      </c>
      <c r="CU96" s="290" t="e">
        <f>(CT96/1000000)*('1a. Spredningsmodell input'!$B$49)*'1a. Spredningsmodell input'!$C$35</f>
        <v>#VALUE!</v>
      </c>
      <c r="CV96" s="297" t="e">
        <f>($S96)*EXP(-(Stoff!$N96*365+$U96)*CP96)+CS96</f>
        <v>#VALUE!</v>
      </c>
      <c r="CW96" s="297" t="e">
        <f>(Stoff!$P96*$S96+CU96)*EXP(-$T96*CP96)</f>
        <v>#VALUE!</v>
      </c>
      <c r="CX96" s="297">
        <f>IF(ISERROR(CV96),0,(CV96+CW96)*1000000000/('1a. Spredningsmodell input'!$C$36*1000))</f>
        <v>0</v>
      </c>
      <c r="CY96" s="297" t="e">
        <f>$G96*(1-EXP(-'1a. Spredningsmodell input'!$B$43*Mellomregninger!CP96))*(1-EXP(-'1a. Spredningsmodell input'!$B$46*Mellomregninger!CP96))</f>
        <v>#VALUE!</v>
      </c>
      <c r="CZ96" s="297"/>
      <c r="DA96" s="297"/>
      <c r="DB96" s="262">
        <f t="shared" si="47"/>
        <v>5</v>
      </c>
      <c r="DC96" s="298" t="e">
        <f>($S96+$Q96*($O96+$I96*($D96*(1-Stoff!$P96))*(1-EXP(-($F96+Stoff!$L96*365)*DB96)))*(1-EXP(-($N96+Stoff!$M96*365)*DB96)))</f>
        <v>#VALUE!</v>
      </c>
      <c r="DD96" s="294" t="e">
        <f t="shared" si="48"/>
        <v>#VALUE!</v>
      </c>
      <c r="DE96" s="296" t="e">
        <f>(DD96/1000000)*('1a. Spredningsmodell input'!$B$49)*'1a. Spredningsmodell input'!$C$35</f>
        <v>#VALUE!</v>
      </c>
      <c r="DF96" s="294" t="e">
        <f t="shared" si="49"/>
        <v>#VALUE!</v>
      </c>
      <c r="DG96" s="290" t="e">
        <f>(DF96/1000000)*('1a. Spredningsmodell input'!$B$49)*'1a. Spredningsmodell input'!$C$35</f>
        <v>#VALUE!</v>
      </c>
      <c r="DH96" s="297" t="e">
        <f>($S96)*EXP(-(Stoff!$N96*365+$U96)*DB96)+DE96</f>
        <v>#VALUE!</v>
      </c>
      <c r="DI96" s="297" t="e">
        <f>(Stoff!$P96*$S96+DG96)*EXP(-$T96*DB96)</f>
        <v>#VALUE!</v>
      </c>
      <c r="DJ96" s="297" t="e">
        <f>(DH96+DI96)*1000000000/('1a. Spredningsmodell input'!$C$36*1000)</f>
        <v>#VALUE!</v>
      </c>
      <c r="DK96" s="297" t="e">
        <f>$G96*(1-EXP(-'1a. Spredningsmodell input'!$B$43*Mellomregninger!DB96))*(1-EXP(-'1a. Spredningsmodell input'!$B$46*Mellomregninger!DB96))</f>
        <v>#VALUE!</v>
      </c>
      <c r="DL96" s="297"/>
      <c r="DM96" s="297"/>
      <c r="DN96" s="262">
        <f t="shared" si="50"/>
        <v>20</v>
      </c>
      <c r="DO96" s="298" t="e">
        <f>($S96+$Q96*($O96+$I96*($D96*(1-Stoff!$P96))*(1-EXP(-($F96+Stoff!$L96*365)*DN96)))*(1-EXP(-($N96+Stoff!$M96*365)*DN96)))</f>
        <v>#VALUE!</v>
      </c>
      <c r="DP96" s="294" t="e">
        <f t="shared" si="51"/>
        <v>#VALUE!</v>
      </c>
      <c r="DQ96" s="296" t="e">
        <f>(DP96/1000000)*('1a. Spredningsmodell input'!$B$49)*'1a. Spredningsmodell input'!$C$35</f>
        <v>#VALUE!</v>
      </c>
      <c r="DR96" s="294" t="e">
        <f t="shared" si="52"/>
        <v>#VALUE!</v>
      </c>
      <c r="DS96" s="290" t="e">
        <f>(DR96/1000000)*('1a. Spredningsmodell input'!$B$49)*'1a. Spredningsmodell input'!$C$35</f>
        <v>#VALUE!</v>
      </c>
      <c r="DT96" s="297" t="e">
        <f>($S96)*EXP(-(Stoff!$N96*365+$U96)*DN96)+DQ96</f>
        <v>#VALUE!</v>
      </c>
      <c r="DU96" s="297" t="e">
        <f>(Stoff!$P96*$S96+DS96)*EXP(-$T96*DN96)</f>
        <v>#VALUE!</v>
      </c>
      <c r="DV96" s="297" t="e">
        <f>(DT96+DU96)*1000000000/('1a. Spredningsmodell input'!$C$36*1000)</f>
        <v>#VALUE!</v>
      </c>
      <c r="DW96" s="297" t="e">
        <f>$G96*(1-EXP(-'1a. Spredningsmodell input'!$B$43*Mellomregninger!DN96))*(1-EXP(-'1a. Spredningsmodell input'!$B$46*Mellomregninger!DN96))</f>
        <v>#VALUE!</v>
      </c>
      <c r="DX96" s="297"/>
      <c r="DY96" s="297"/>
      <c r="DZ96" s="262">
        <f t="shared" si="53"/>
        <v>100</v>
      </c>
      <c r="EA96" s="298" t="e">
        <f>($S96+$Q96*($O96+$I96*($D96*(1-Stoff!$P96))*(1-EXP(-($F96+Stoff!$L96*365)*DZ96)))*(1-EXP(-($N96+Stoff!$M96*365)*DZ96)))</f>
        <v>#VALUE!</v>
      </c>
      <c r="EB96" s="294" t="e">
        <f t="shared" si="54"/>
        <v>#VALUE!</v>
      </c>
      <c r="EC96" s="296" t="e">
        <f>(EB96/1000000)*('1a. Spredningsmodell input'!$B$49)*'1a. Spredningsmodell input'!$C$35</f>
        <v>#VALUE!</v>
      </c>
      <c r="ED96" s="294" t="e">
        <f t="shared" si="55"/>
        <v>#VALUE!</v>
      </c>
      <c r="EE96" s="290" t="e">
        <f>(ED96/1000000)*('1a. Spredningsmodell input'!$B$49)*'1a. Spredningsmodell input'!$C$35</f>
        <v>#VALUE!</v>
      </c>
      <c r="EF96" s="297" t="e">
        <f>($S96)*EXP(-(Stoff!$N96*365+$U96)*DZ96)+EC96</f>
        <v>#VALUE!</v>
      </c>
      <c r="EG96" s="297" t="e">
        <f>(Stoff!$P96*$S96+EE96)*EXP(-$T96*DZ96)</f>
        <v>#VALUE!</v>
      </c>
      <c r="EH96" s="297" t="e">
        <f>(EF96+EG96)*1000000000/('1a. Spredningsmodell input'!$C$36*1000)</f>
        <v>#VALUE!</v>
      </c>
      <c r="EI96" s="297" t="e">
        <f>$G96*(1-EXP(-'1a. Spredningsmodell input'!$B$43*Mellomregninger!DZ96))*(1-EXP(-'1a. Spredningsmodell input'!$B$46*Mellomregninger!DZ96))</f>
        <v>#VALUE!</v>
      </c>
      <c r="EJ96" s="297"/>
      <c r="EK96" s="297"/>
      <c r="EL96" s="262">
        <f t="shared" si="56"/>
        <v>1.0000000000000001E+25</v>
      </c>
      <c r="EM96" s="294" t="e">
        <f>($S96+$Q96*($O96+$I96*($D96*(1-Stoff!$P96))*(1-EXP(-($F96+Stoff!$L96*365)*EL96)))*(1-EXP(-($N96+Stoff!$M96*365)*EL96)))</f>
        <v>#VALUE!</v>
      </c>
      <c r="EN96" s="296" t="e">
        <f>($S96+$Q96*($O96+$I96*($D96*(1-Stoff!$P96))*(1-EXP(-($F96+Stoff!$L96*365)*(EL96-'1a. Spredningsmodell input'!$C$35))))*(1-EXP(-($N96+Stoff!$M96*365)*(EL96-'1a. Spredningsmodell input'!$C$35))))</f>
        <v>#VALUE!</v>
      </c>
      <c r="EO96" s="294" t="e">
        <f>IF(EL96&lt;'1a. Spredningsmodell input'!$C$35,EM96-($S96)*EXP(-(Stoff!$N96*365+$U96)*EL96),EM96-EN96)</f>
        <v>#VALUE!</v>
      </c>
      <c r="EP96" s="290" t="e">
        <f>((($D96*(Stoff!$P96))*(1-EXP(-'1a. Spredningsmodell input'!$B$43*EL96)))*(1-EXP(-'1a. Spredningsmodell input'!$B$46*EL96)))</f>
        <v>#VALUE!</v>
      </c>
      <c r="EQ96" s="294" t="e">
        <f>((($D96*(Stoff!$P96))*(1-EXP(-'1a. Spredningsmodell input'!$B$43*(EL96-'1a. Spredningsmodell input'!$C$35))))*(1-EXP(-'1a. Spredningsmodell input'!$B$46*(EL96-'1a. Spredningsmodell input'!$C$35))))</f>
        <v>#VALUE!</v>
      </c>
      <c r="ER96" s="290" t="e">
        <f>IF(EL96&lt;'1a. Spredningsmodell input'!$C$35,0,EP96-EQ96)</f>
        <v>#VALUE!</v>
      </c>
      <c r="ES96" s="297" t="e">
        <f>($S96)*EXP(-(Stoff!$N96*365+$U96)*EL96)+EO96</f>
        <v>#VALUE!</v>
      </c>
      <c r="ET96" s="297" t="e">
        <f>(Stoff!$P96*$S96+ER96)*EXP(-$T96*EL96)</f>
        <v>#VALUE!</v>
      </c>
      <c r="EU96" s="297" t="e">
        <f>(ES96+ET96)*1000000000/('1a. Spredningsmodell input'!$C$36*1000)</f>
        <v>#VALUE!</v>
      </c>
      <c r="EV96" s="262" t="e">
        <f t="shared" si="57"/>
        <v>#VALUE!</v>
      </c>
      <c r="EW96" s="299" t="e">
        <f t="shared" si="58"/>
        <v>#VALUE!</v>
      </c>
      <c r="EX96" s="262" t="e">
        <f t="shared" si="59"/>
        <v>#VALUE!</v>
      </c>
    </row>
    <row r="97" spans="1:154" x14ac:dyDescent="0.35">
      <c r="A97" s="301" t="str">
        <f>Stoff!A97</f>
        <v>nystoff 11</v>
      </c>
      <c r="B97" s="34" t="str">
        <f>IF(ISNUMBER('1c. Kons. porevann'!E97),1000*'1c. Kons. porevann'!E97,IF(ISNUMBER('1b. Kons. umettet jord'!E97),1000*'1b. Kons. umettet jord'!E97/C97,""))</f>
        <v/>
      </c>
      <c r="C97" s="244">
        <f>IF(Stoff!B97="uorganisk",Stoff!C97,Stoff!D97*'1a. Spredningsmodell input'!$C$11)</f>
        <v>0</v>
      </c>
      <c r="D97" s="34" t="str">
        <f>IF(ISNUMBER(B97),0.000001*('1b. Kons. umettet jord'!G97*'1a. Spredningsmodell input'!$C$12+B97*0.001*'1a. Spredningsmodell input'!$C$14)*1000*'1a. Spredningsmodell input'!$B$41*'1a. Spredningsmodell input'!$C$18,"")</f>
        <v/>
      </c>
      <c r="E97" s="283">
        <f>C97*'1a. Spredningsmodell input'!$C$12/'1a. Spredningsmodell input'!$C$14+1</f>
        <v>1</v>
      </c>
      <c r="F97" s="284">
        <f>'1a. Spredningsmodell input'!$B$43/E97</f>
        <v>1.4999999999999998</v>
      </c>
      <c r="G97" s="34" t="e">
        <f>Stoff!P97*Mellomregninger!D97</f>
        <v>#VALUE!</v>
      </c>
      <c r="H97" s="283" t="e">
        <f>(D97-G97)*(F97/(F97+Stoff!L97))</f>
        <v>#VALUE!</v>
      </c>
      <c r="I97" s="283">
        <f>F97/(F97+Stoff!L97)</f>
        <v>1</v>
      </c>
      <c r="J97" s="285" t="str">
        <f>IF(B97="","",IF(ISNUMBER('1d. Kons. mettet sone'!E97),'1d. Kons. mettet sone'!E97,IF(ISNUMBER('1e. Kons. grunnvann'!E97),'1e. Kons. grunnvann'!E97*Mellomregninger!K97,0)))</f>
        <v/>
      </c>
      <c r="K97" s="286">
        <f>IF(Stoff!B97="uorganisk",Stoff!C97,Stoff!D97*'1a. Spredningsmodell input'!$C$24)</f>
        <v>0</v>
      </c>
      <c r="L97" s="27" t="e">
        <f>IF(ISNUMBER('1e. Kons. grunnvann'!E97),1000*'1e. Kons. grunnvann'!E97,1000*J97/K97)</f>
        <v>#VALUE!</v>
      </c>
      <c r="M97" s="34">
        <f>K97*'1a. Spredningsmodell input'!$C$25/'1a. Spredningsmodell input'!$C$26+1</f>
        <v>1</v>
      </c>
      <c r="N97" s="284">
        <f>'1a. Spredningsmodell input'!$C$26/M97</f>
        <v>0.4</v>
      </c>
      <c r="O97" s="287" t="e">
        <f>0.000000001*(J97*'1a. Spredningsmodell input'!$C$25+L97)*1000*'1a. Spredningsmodell input'!$B$45</f>
        <v>#VALUE!</v>
      </c>
      <c r="P97" s="287" t="e">
        <f>O97*Stoff!P97</f>
        <v>#VALUE!</v>
      </c>
      <c r="Q97" s="287">
        <f>N97/(N97+Stoff!M97)</f>
        <v>1</v>
      </c>
      <c r="R97" s="288">
        <f>IF(ISNUMBER('1f. Kons. resipient'!E97),'1f. Kons. resipient'!E97,0)</f>
        <v>0</v>
      </c>
      <c r="S97" s="288">
        <f>0.000000001*'1a. Spredningsmodell input'!$C$36*R97*1000</f>
        <v>0</v>
      </c>
      <c r="T97" s="288">
        <f>1/'1a. Spredningsmodell input'!$C$35</f>
        <v>1</v>
      </c>
      <c r="U97" s="288">
        <f>1/'1a. Spredningsmodell input'!$C$35</f>
        <v>1</v>
      </c>
      <c r="V97" s="300" t="e">
        <f>(1/($N97+Stoff!$L97))*(LN(($D97*$I97/($D97*$I97+$J97))*($F97+Stoff!$L97+$N97+Stoff!$M97)/($N97+Stoff!$M97)))</f>
        <v>#VALUE!</v>
      </c>
      <c r="W97" s="290" t="e">
        <f>($D97-Stoff!$P97*$D97)*EXP(-($F97+Stoff!$L97*365)*V97)</f>
        <v>#VALUE!</v>
      </c>
      <c r="X97" s="291" t="e">
        <f>(Stoff!$P97*$D97)*EXP(-'1a. Spredningsmodell input'!$B$43*V97)</f>
        <v>#VALUE!</v>
      </c>
      <c r="Y97" s="290" t="e">
        <f>($D97-Stoff!$P97*$D97-W97)*($F97/($F97+Stoff!$L97*365))</f>
        <v>#VALUE!</v>
      </c>
      <c r="Z97" s="290" t="e">
        <f>(Stoff!$P97*$D97)-X97</f>
        <v>#VALUE!</v>
      </c>
      <c r="AA97" s="290" t="e">
        <f>($O97+Y97)*EXP(-($N97+Stoff!$M97*365)*V97)</f>
        <v>#VALUE!</v>
      </c>
      <c r="AB97" s="290" t="e">
        <f>(Stoff!$P97*$O97+Z97)*EXP(-('1a. Spredningsmodell input'!$B$46)*V97)</f>
        <v>#VALUE!</v>
      </c>
      <c r="AC97" s="292" t="e">
        <f>((AA97+AB97)*1000000000)/('1a. Spredningsmodell input'!$B$45*1000)</f>
        <v>#VALUE!</v>
      </c>
      <c r="AD97" s="294" t="e">
        <f>0.001*AC97/('1a. Spredningsmodell input'!$C$25+'1a. Spredningsmodell input'!$C$26/Mellomregninger!$K97)</f>
        <v>#VALUE!</v>
      </c>
      <c r="AE97" s="294" t="e">
        <f>1000*AD97/$K97+AB97*1000000000/('1a. Spredningsmodell input'!$B$45*1000)</f>
        <v>#VALUE!</v>
      </c>
      <c r="AF97" s="294" t="e">
        <f t="shared" si="35"/>
        <v>#VALUE!</v>
      </c>
      <c r="AG97" s="294" t="e">
        <f>AB97*1000000000/('1a. Spredningsmodell input'!$B$45*1000)</f>
        <v>#VALUE!</v>
      </c>
      <c r="AH97" s="300" t="e">
        <f>(1/('1a. Spredningsmodell input'!$B$46))*(LN(($D97*Stoff!$P97/($D97*Stoff!$P97+$P97*Stoff!$P97))*('1a. Spredningsmodell input'!$B$43+'1a. Spredningsmodell input'!$B$46)/('1a. Spredningsmodell input'!$B$46)))</f>
        <v>#VALUE!</v>
      </c>
      <c r="AI97" s="290" t="e">
        <f>($D97-Stoff!$P97*$D97)*EXP(-($F97+Stoff!$L97*365)*AH97)</f>
        <v>#VALUE!</v>
      </c>
      <c r="AJ97" s="291" t="e">
        <f>(Stoff!$P97*$D97)*EXP(-'1a. Spredningsmodell input'!$B$43*AH97)</f>
        <v>#VALUE!</v>
      </c>
      <c r="AK97" s="290" t="e">
        <f>($D97-Stoff!$P97*$D97-AI97)*($F97/($F97+Stoff!$L97*365))</f>
        <v>#VALUE!</v>
      </c>
      <c r="AL97" s="290" t="e">
        <f>(Stoff!$P97*$D97)-AJ97</f>
        <v>#VALUE!</v>
      </c>
      <c r="AM97" s="290" t="e">
        <f>($O97+AK97)*EXP(-($N97+Stoff!$M97*365)*AH97)</f>
        <v>#VALUE!</v>
      </c>
      <c r="AN97" s="290" t="e">
        <f>(Stoff!$P97*$O97+AL97)*EXP(-('1a. Spredningsmodell input'!$B$46)*AH97)</f>
        <v>#VALUE!</v>
      </c>
      <c r="AO97" s="292" t="e">
        <f>((AM97+AN97)*1000000000)/('1a. Spredningsmodell input'!$B$45*1000)</f>
        <v>#VALUE!</v>
      </c>
      <c r="AP97" s="294" t="e">
        <f>0.001*AO97/('1a. Spredningsmodell input'!$C$25+'1a. Spredningsmodell input'!$C$26/Mellomregninger!$K97)</f>
        <v>#VALUE!</v>
      </c>
      <c r="AQ97" s="294" t="e">
        <f>1000*AP97/$K97+AN97*1000000000/('1a. Spredningsmodell input'!$B$45*1000)</f>
        <v>#VALUE!</v>
      </c>
      <c r="AR97" s="294" t="e">
        <f t="shared" si="36"/>
        <v>#VALUE!</v>
      </c>
      <c r="AS97" s="294" t="e">
        <f>AN97*1000000000/('1a. Spredningsmodell input'!$B$45*1000)</f>
        <v>#VALUE!</v>
      </c>
      <c r="AT97" s="295">
        <f t="shared" si="37"/>
        <v>5</v>
      </c>
      <c r="AU97" s="290" t="e">
        <f>($D97-Stoff!$P97*$D97)*EXP(-($F97+Stoff!$L97*365)*AT97)</f>
        <v>#VALUE!</v>
      </c>
      <c r="AV97" s="291" t="e">
        <f>(Stoff!$P97*$D97)*EXP(-'1a. Spredningsmodell input'!$B$43*AT97)</f>
        <v>#VALUE!</v>
      </c>
      <c r="AW97" s="290" t="e">
        <f>($D97-Stoff!$P97*$D97-AU97)*($F97/($F97+Stoff!$L97*365))</f>
        <v>#VALUE!</v>
      </c>
      <c r="AX97" s="290" t="e">
        <f>(Stoff!$P97*$D97)-AV97</f>
        <v>#VALUE!</v>
      </c>
      <c r="AY97" s="290" t="e">
        <f>($O97+AW97)*EXP(-($N97+Stoff!$M97*365)*AT97)</f>
        <v>#VALUE!</v>
      </c>
      <c r="AZ97" s="290" t="e">
        <f>(Stoff!$P97*$O97+AX97)*EXP(-('1a. Spredningsmodell input'!$B$46)*AT97)</f>
        <v>#VALUE!</v>
      </c>
      <c r="BA97" s="292" t="e">
        <f>((AY97+AZ97)*1000000000)/('1a. Spredningsmodell input'!$B$45*1000)</f>
        <v>#VALUE!</v>
      </c>
      <c r="BB97" s="294" t="e">
        <f>0.001*BA97/('1a. Spredningsmodell input'!$C$25+'1a. Spredningsmodell input'!$C$26/Mellomregninger!$K97)</f>
        <v>#VALUE!</v>
      </c>
      <c r="BC97" s="294" t="e">
        <f>1000*BB97/$K97+AZ97*1000000000/('1a. Spredningsmodell input'!$B$45*1000)</f>
        <v>#VALUE!</v>
      </c>
      <c r="BD97" s="294" t="e">
        <f t="shared" si="38"/>
        <v>#VALUE!</v>
      </c>
      <c r="BE97" s="294" t="e">
        <f>AZ97*1000000000/('1a. Spredningsmodell input'!$B$45*1000)</f>
        <v>#VALUE!</v>
      </c>
      <c r="BF97" s="295">
        <f t="shared" si="39"/>
        <v>20</v>
      </c>
      <c r="BG97" s="290" t="e">
        <f>($D97-Stoff!$P97*$D97)*EXP(-($F97+Stoff!$L97*365)*BF97)</f>
        <v>#VALUE!</v>
      </c>
      <c r="BH97" s="291" t="e">
        <f>(Stoff!$P97*$D97)*EXP(-'1a. Spredningsmodell input'!$B$43*BF97)</f>
        <v>#VALUE!</v>
      </c>
      <c r="BI97" s="290" t="e">
        <f>($D97-Stoff!$P97*$D97-BG97)*($F97/($F97+Stoff!$L97*365))</f>
        <v>#VALUE!</v>
      </c>
      <c r="BJ97" s="290" t="e">
        <f>(Stoff!$P97*$D97)-BH97</f>
        <v>#VALUE!</v>
      </c>
      <c r="BK97" s="290" t="e">
        <f>($O97+BI97)*EXP(-($N97+Stoff!$M97*365)*BF97)</f>
        <v>#VALUE!</v>
      </c>
      <c r="BL97" s="290" t="e">
        <f>(Stoff!$P97*$O97+BJ97)*EXP(-('1a. Spredningsmodell input'!$B$46)*BF97)</f>
        <v>#VALUE!</v>
      </c>
      <c r="BM97" s="292" t="e">
        <f>((BK97+BL97)*1000000000)/('1a. Spredningsmodell input'!$B$45*1000)</f>
        <v>#VALUE!</v>
      </c>
      <c r="BN97" s="294" t="e">
        <f>0.001*BM97/('1a. Spredningsmodell input'!$C$25+'1a. Spredningsmodell input'!$C$26/Mellomregninger!$K97)</f>
        <v>#VALUE!</v>
      </c>
      <c r="BO97" s="294" t="e">
        <f>1000*BN97/$K97+BL97*1000000000/('1a. Spredningsmodell input'!$B$45*1000)</f>
        <v>#VALUE!</v>
      </c>
      <c r="BP97" s="294" t="e">
        <f t="shared" si="40"/>
        <v>#VALUE!</v>
      </c>
      <c r="BQ97" s="294" t="e">
        <f>BL97*1000000000/('1a. Spredningsmodell input'!$B$45*1000)</f>
        <v>#VALUE!</v>
      </c>
      <c r="BR97" s="295">
        <f t="shared" si="41"/>
        <v>100</v>
      </c>
      <c r="BS97" s="290" t="e">
        <f>($D97-Stoff!$P97*$D97)*EXP(-($F97+Stoff!$L97*365)*BR97)</f>
        <v>#VALUE!</v>
      </c>
      <c r="BT97" s="291" t="e">
        <f>(Stoff!$P97*$D97)*EXP(-'1a. Spredningsmodell input'!$B$43*BR97)</f>
        <v>#VALUE!</v>
      </c>
      <c r="BU97" s="290" t="e">
        <f>($D97-Stoff!$P97*$D97-BS97)*($F97/($F97+Stoff!$L97*365))</f>
        <v>#VALUE!</v>
      </c>
      <c r="BV97" s="290" t="e">
        <f>(Stoff!$P97*$D97)-BT97</f>
        <v>#VALUE!</v>
      </c>
      <c r="BW97" s="290" t="e">
        <f>($O97+BU97)*EXP(-($N97+Stoff!$M97*365)*BR97)</f>
        <v>#VALUE!</v>
      </c>
      <c r="BX97" s="290" t="e">
        <f>(Stoff!$P97*$O97+BV97)*EXP(-('1a. Spredningsmodell input'!$B$46)*BR97)</f>
        <v>#VALUE!</v>
      </c>
      <c r="BY97" s="292" t="e">
        <f>((BW97+BX97)*1000000000)/('1a. Spredningsmodell input'!$B$45*1000)</f>
        <v>#VALUE!</v>
      </c>
      <c r="BZ97" s="294" t="e">
        <f>0.001*BY97/('1a. Spredningsmodell input'!$C$25+'1a. Spredningsmodell input'!$C$26/Mellomregninger!$K97)</f>
        <v>#VALUE!</v>
      </c>
      <c r="CA97" s="294" t="e">
        <f>1000*BZ97/$K97+BX97*1000000000/('1a. Spredningsmodell input'!$B$45*1000)</f>
        <v>#VALUE!</v>
      </c>
      <c r="CB97" s="294" t="e">
        <f t="shared" si="42"/>
        <v>#VALUE!</v>
      </c>
      <c r="CC97" s="294" t="e">
        <f>BX97*1000000000/('1a. Spredningsmodell input'!$B$45*1000)</f>
        <v>#VALUE!</v>
      </c>
      <c r="CD97" s="294" t="e">
        <f>V97+'1a. Spredningsmodell input'!$C$35</f>
        <v>#VALUE!</v>
      </c>
      <c r="CE97" s="294" t="e">
        <f>($S97+$Q97*($O97+$I97*($D97*(1-Stoff!$P97))*(1-EXP(-($F97+Stoff!$L97*365)*CD97)))*(1-EXP(-($N97+Stoff!$M97*365)*CD97)))</f>
        <v>#VALUE!</v>
      </c>
      <c r="CF97" s="294" t="e">
        <f t="shared" si="43"/>
        <v>#VALUE!</v>
      </c>
      <c r="CG97" s="296" t="e">
        <f>(CF97/1000000)*'1a. Spredningsmodell input'!$B$49*'1a. Spredningsmodell input'!$C$35</f>
        <v>#VALUE!</v>
      </c>
      <c r="CH97" s="294" t="e">
        <f t="shared" si="44"/>
        <v>#VALUE!</v>
      </c>
      <c r="CI97" s="290" t="e">
        <f>(CH97/1000000)*'1a. Spredningsmodell input'!$B$49*'1a. Spredningsmodell input'!$C$35</f>
        <v>#VALUE!</v>
      </c>
      <c r="CJ97" s="297" t="e">
        <f>($S97)*EXP(-(Stoff!$N97*365+$U97)*CD97)+CG97</f>
        <v>#VALUE!</v>
      </c>
      <c r="CK97" s="297" t="e">
        <f>(Stoff!$P97*$S97+CI97)*EXP(-$T97*CD97)</f>
        <v>#VALUE!</v>
      </c>
      <c r="CL97" s="297" t="e">
        <f>(CJ97+CK97)*1000000000/('1a. Spredningsmodell input'!$C$36*1000)</f>
        <v>#VALUE!</v>
      </c>
      <c r="CM97" s="297" t="e">
        <f>$G97*(1-EXP(-'1a. Spredningsmodell input'!$B$43*Mellomregninger!CD97))*(1-EXP(-'1a. Spredningsmodell input'!$B$46*Mellomregninger!CD97))</f>
        <v>#VALUE!</v>
      </c>
      <c r="CN97" s="297"/>
      <c r="CO97" s="297"/>
      <c r="CP97" s="290">
        <f>IF(ISNUMBER(AH97),AH97+'1a. Spredningsmodell input'!$C$35,'1a. Spredningsmodell input'!$C$35)</f>
        <v>1</v>
      </c>
      <c r="CQ97" s="294" t="e">
        <f>($S97+$Q97*($O97+$I97*($D97*(1-Stoff!$P97))*(1-EXP(-($F97+Stoff!$L97*365)*CP97)))*(1-EXP(-($N97+Stoff!$M97*365)*CP97)))</f>
        <v>#VALUE!</v>
      </c>
      <c r="CR97" s="294" t="e">
        <f t="shared" si="45"/>
        <v>#VALUE!</v>
      </c>
      <c r="CS97" s="296" t="e">
        <f>(CR97/1000000)*('1a. Spredningsmodell input'!$B$49*'1a. Spredningsmodell input'!$C$35)</f>
        <v>#VALUE!</v>
      </c>
      <c r="CT97" s="294" t="e">
        <f t="shared" si="46"/>
        <v>#VALUE!</v>
      </c>
      <c r="CU97" s="290" t="e">
        <f>(CT97/1000000)*('1a. Spredningsmodell input'!$B$49)*'1a. Spredningsmodell input'!$C$35</f>
        <v>#VALUE!</v>
      </c>
      <c r="CV97" s="297" t="e">
        <f>($S97)*EXP(-(Stoff!$N97*365+$U97)*CP97)+CS97</f>
        <v>#VALUE!</v>
      </c>
      <c r="CW97" s="297" t="e">
        <f>(Stoff!$P97*$S97+CU97)*EXP(-$T97*CP97)</f>
        <v>#VALUE!</v>
      </c>
      <c r="CX97" s="297">
        <f>IF(ISERROR(CV97),0,(CV97+CW97)*1000000000/('1a. Spredningsmodell input'!$C$36*1000))</f>
        <v>0</v>
      </c>
      <c r="CY97" s="297" t="e">
        <f>$G97*(1-EXP(-'1a. Spredningsmodell input'!$B$43*Mellomregninger!CP97))*(1-EXP(-'1a. Spredningsmodell input'!$B$46*Mellomregninger!CP97))</f>
        <v>#VALUE!</v>
      </c>
      <c r="CZ97" s="297"/>
      <c r="DA97" s="297"/>
      <c r="DB97" s="262">
        <f t="shared" si="47"/>
        <v>5</v>
      </c>
      <c r="DC97" s="298" t="e">
        <f>($S97+$Q97*($O97+$I97*($D97*(1-Stoff!$P97))*(1-EXP(-($F97+Stoff!$L97*365)*DB97)))*(1-EXP(-($N97+Stoff!$M97*365)*DB97)))</f>
        <v>#VALUE!</v>
      </c>
      <c r="DD97" s="294" t="e">
        <f t="shared" si="48"/>
        <v>#VALUE!</v>
      </c>
      <c r="DE97" s="296" t="e">
        <f>(DD97/1000000)*('1a. Spredningsmodell input'!$B$49)*'1a. Spredningsmodell input'!$C$35</f>
        <v>#VALUE!</v>
      </c>
      <c r="DF97" s="294" t="e">
        <f t="shared" si="49"/>
        <v>#VALUE!</v>
      </c>
      <c r="DG97" s="290" t="e">
        <f>(DF97/1000000)*('1a. Spredningsmodell input'!$B$49)*'1a. Spredningsmodell input'!$C$35</f>
        <v>#VALUE!</v>
      </c>
      <c r="DH97" s="297" t="e">
        <f>($S97)*EXP(-(Stoff!$N97*365+$U97)*DB97)+DE97</f>
        <v>#VALUE!</v>
      </c>
      <c r="DI97" s="297" t="e">
        <f>(Stoff!$P97*$S97+DG97)*EXP(-$T97*DB97)</f>
        <v>#VALUE!</v>
      </c>
      <c r="DJ97" s="297" t="e">
        <f>(DH97+DI97)*1000000000/('1a. Spredningsmodell input'!$C$36*1000)</f>
        <v>#VALUE!</v>
      </c>
      <c r="DK97" s="297" t="e">
        <f>$G97*(1-EXP(-'1a. Spredningsmodell input'!$B$43*Mellomregninger!DB97))*(1-EXP(-'1a. Spredningsmodell input'!$B$46*Mellomregninger!DB97))</f>
        <v>#VALUE!</v>
      </c>
      <c r="DL97" s="297"/>
      <c r="DM97" s="297"/>
      <c r="DN97" s="262">
        <f t="shared" si="50"/>
        <v>20</v>
      </c>
      <c r="DO97" s="298" t="e">
        <f>($S97+$Q97*($O97+$I97*($D97*(1-Stoff!$P97))*(1-EXP(-($F97+Stoff!$L97*365)*DN97)))*(1-EXP(-($N97+Stoff!$M97*365)*DN97)))</f>
        <v>#VALUE!</v>
      </c>
      <c r="DP97" s="294" t="e">
        <f t="shared" si="51"/>
        <v>#VALUE!</v>
      </c>
      <c r="DQ97" s="296" t="e">
        <f>(DP97/1000000)*('1a. Spredningsmodell input'!$B$49)*'1a. Spredningsmodell input'!$C$35</f>
        <v>#VALUE!</v>
      </c>
      <c r="DR97" s="294" t="e">
        <f t="shared" si="52"/>
        <v>#VALUE!</v>
      </c>
      <c r="DS97" s="290" t="e">
        <f>(DR97/1000000)*('1a. Spredningsmodell input'!$B$49)*'1a. Spredningsmodell input'!$C$35</f>
        <v>#VALUE!</v>
      </c>
      <c r="DT97" s="297" t="e">
        <f>($S97)*EXP(-(Stoff!$N97*365+$U97)*DN97)+DQ97</f>
        <v>#VALUE!</v>
      </c>
      <c r="DU97" s="297" t="e">
        <f>(Stoff!$P97*$S97+DS97)*EXP(-$T97*DN97)</f>
        <v>#VALUE!</v>
      </c>
      <c r="DV97" s="297" t="e">
        <f>(DT97+DU97)*1000000000/('1a. Spredningsmodell input'!$C$36*1000)</f>
        <v>#VALUE!</v>
      </c>
      <c r="DW97" s="297" t="e">
        <f>$G97*(1-EXP(-'1a. Spredningsmodell input'!$B$43*Mellomregninger!DN97))*(1-EXP(-'1a. Spredningsmodell input'!$B$46*Mellomregninger!DN97))</f>
        <v>#VALUE!</v>
      </c>
      <c r="DX97" s="297"/>
      <c r="DY97" s="297"/>
      <c r="DZ97" s="262">
        <f t="shared" si="53"/>
        <v>100</v>
      </c>
      <c r="EA97" s="298" t="e">
        <f>($S97+$Q97*($O97+$I97*($D97*(1-Stoff!$P97))*(1-EXP(-($F97+Stoff!$L97*365)*DZ97)))*(1-EXP(-($N97+Stoff!$M97*365)*DZ97)))</f>
        <v>#VALUE!</v>
      </c>
      <c r="EB97" s="294" t="e">
        <f t="shared" si="54"/>
        <v>#VALUE!</v>
      </c>
      <c r="EC97" s="296" t="e">
        <f>(EB97/1000000)*('1a. Spredningsmodell input'!$B$49)*'1a. Spredningsmodell input'!$C$35</f>
        <v>#VALUE!</v>
      </c>
      <c r="ED97" s="294" t="e">
        <f t="shared" si="55"/>
        <v>#VALUE!</v>
      </c>
      <c r="EE97" s="290" t="e">
        <f>(ED97/1000000)*('1a. Spredningsmodell input'!$B$49)*'1a. Spredningsmodell input'!$C$35</f>
        <v>#VALUE!</v>
      </c>
      <c r="EF97" s="297" t="e">
        <f>($S97)*EXP(-(Stoff!$N97*365+$U97)*DZ97)+EC97</f>
        <v>#VALUE!</v>
      </c>
      <c r="EG97" s="297" t="e">
        <f>(Stoff!$P97*$S97+EE97)*EXP(-$T97*DZ97)</f>
        <v>#VALUE!</v>
      </c>
      <c r="EH97" s="297" t="e">
        <f>(EF97+EG97)*1000000000/('1a. Spredningsmodell input'!$C$36*1000)</f>
        <v>#VALUE!</v>
      </c>
      <c r="EI97" s="297" t="e">
        <f>$G97*(1-EXP(-'1a. Spredningsmodell input'!$B$43*Mellomregninger!DZ97))*(1-EXP(-'1a. Spredningsmodell input'!$B$46*Mellomregninger!DZ97))</f>
        <v>#VALUE!</v>
      </c>
      <c r="EJ97" s="297"/>
      <c r="EK97" s="297"/>
      <c r="EL97" s="262">
        <f t="shared" si="56"/>
        <v>1.0000000000000001E+25</v>
      </c>
      <c r="EM97" s="294" t="e">
        <f>($S97+$Q97*($O97+$I97*($D97*(1-Stoff!$P97))*(1-EXP(-($F97+Stoff!$L97*365)*EL97)))*(1-EXP(-($N97+Stoff!$M97*365)*EL97)))</f>
        <v>#VALUE!</v>
      </c>
      <c r="EN97" s="296" t="e">
        <f>($S97+$Q97*($O97+$I97*($D97*(1-Stoff!$P97))*(1-EXP(-($F97+Stoff!$L97*365)*(EL97-'1a. Spredningsmodell input'!$C$35))))*(1-EXP(-($N97+Stoff!$M97*365)*(EL97-'1a. Spredningsmodell input'!$C$35))))</f>
        <v>#VALUE!</v>
      </c>
      <c r="EO97" s="294" t="e">
        <f>IF(EL97&lt;'1a. Spredningsmodell input'!$C$35,EM97-($S97)*EXP(-(Stoff!$N97*365+$U97)*EL97),EM97-EN97)</f>
        <v>#VALUE!</v>
      </c>
      <c r="EP97" s="290" t="e">
        <f>((($D97*(Stoff!$P97))*(1-EXP(-'1a. Spredningsmodell input'!$B$43*EL97)))*(1-EXP(-'1a. Spredningsmodell input'!$B$46*EL97)))</f>
        <v>#VALUE!</v>
      </c>
      <c r="EQ97" s="294" t="e">
        <f>((($D97*(Stoff!$P97))*(1-EXP(-'1a. Spredningsmodell input'!$B$43*(EL97-'1a. Spredningsmodell input'!$C$35))))*(1-EXP(-'1a. Spredningsmodell input'!$B$46*(EL97-'1a. Spredningsmodell input'!$C$35))))</f>
        <v>#VALUE!</v>
      </c>
      <c r="ER97" s="290" t="e">
        <f>IF(EL97&lt;'1a. Spredningsmodell input'!$C$35,0,EP97-EQ97)</f>
        <v>#VALUE!</v>
      </c>
      <c r="ES97" s="297" t="e">
        <f>($S97)*EXP(-(Stoff!$N97*365+$U97)*EL97)+EO97</f>
        <v>#VALUE!</v>
      </c>
      <c r="ET97" s="297" t="e">
        <f>(Stoff!$P97*$S97+ER97)*EXP(-$T97*EL97)</f>
        <v>#VALUE!</v>
      </c>
      <c r="EU97" s="297" t="e">
        <f>(ES97+ET97)*1000000000/('1a. Spredningsmodell input'!$C$36*1000)</f>
        <v>#VALUE!</v>
      </c>
      <c r="EV97" s="262" t="e">
        <f t="shared" si="57"/>
        <v>#VALUE!</v>
      </c>
      <c r="EW97" s="299" t="e">
        <f t="shared" si="58"/>
        <v>#VALUE!</v>
      </c>
      <c r="EX97" s="262" t="e">
        <f t="shared" si="59"/>
        <v>#VALUE!</v>
      </c>
    </row>
    <row r="98" spans="1:154" x14ac:dyDescent="0.35">
      <c r="A98" s="301" t="str">
        <f>Stoff!A98</f>
        <v>nystoff 12</v>
      </c>
      <c r="B98" s="34" t="str">
        <f>IF(ISNUMBER('1c. Kons. porevann'!E98),1000*'1c. Kons. porevann'!E98,IF(ISNUMBER('1b. Kons. umettet jord'!E98),1000*'1b. Kons. umettet jord'!E98/C98,""))</f>
        <v/>
      </c>
      <c r="C98" s="244">
        <f>IF(Stoff!B98="uorganisk",Stoff!C98,Stoff!D98*'1a. Spredningsmodell input'!$C$11)</f>
        <v>0</v>
      </c>
      <c r="D98" s="34" t="str">
        <f>IF(ISNUMBER(B98),0.000001*('1b. Kons. umettet jord'!G98*'1a. Spredningsmodell input'!$C$12+B98*0.001*'1a. Spredningsmodell input'!$C$14)*1000*'1a. Spredningsmodell input'!$B$41*'1a. Spredningsmodell input'!$C$18,"")</f>
        <v/>
      </c>
      <c r="E98" s="283">
        <f>C98*'1a. Spredningsmodell input'!$C$12/'1a. Spredningsmodell input'!$C$14+1</f>
        <v>1</v>
      </c>
      <c r="F98" s="284">
        <f>'1a. Spredningsmodell input'!$B$43/E98</f>
        <v>1.4999999999999998</v>
      </c>
      <c r="G98" s="34" t="e">
        <f>Stoff!P98*Mellomregninger!D98</f>
        <v>#VALUE!</v>
      </c>
      <c r="H98" s="283" t="e">
        <f>(D98-G98)*(F98/(F98+Stoff!L98))</f>
        <v>#VALUE!</v>
      </c>
      <c r="I98" s="283">
        <f>F98/(F98+Stoff!L98)</f>
        <v>1</v>
      </c>
      <c r="J98" s="285" t="str">
        <f>IF(B98="","",IF(ISNUMBER('1d. Kons. mettet sone'!E98),'1d. Kons. mettet sone'!E98,IF(ISNUMBER('1e. Kons. grunnvann'!E98),'1e. Kons. grunnvann'!E98*Mellomregninger!K98,0)))</f>
        <v/>
      </c>
      <c r="K98" s="286">
        <f>IF(Stoff!B98="uorganisk",Stoff!C98,Stoff!D98*'1a. Spredningsmodell input'!$C$24)</f>
        <v>0</v>
      </c>
      <c r="L98" s="27" t="e">
        <f>IF(ISNUMBER('1e. Kons. grunnvann'!E98),1000*'1e. Kons. grunnvann'!E98,1000*J98/K98)</f>
        <v>#VALUE!</v>
      </c>
      <c r="M98" s="34">
        <f>K98*'1a. Spredningsmodell input'!$C$25/'1a. Spredningsmodell input'!$C$26+1</f>
        <v>1</v>
      </c>
      <c r="N98" s="284">
        <f>'1a. Spredningsmodell input'!$C$26/M98</f>
        <v>0.4</v>
      </c>
      <c r="O98" s="287" t="e">
        <f>0.000000001*(J98*'1a. Spredningsmodell input'!$C$25+L98)*1000*'1a. Spredningsmodell input'!$B$45</f>
        <v>#VALUE!</v>
      </c>
      <c r="P98" s="287" t="e">
        <f>O98*Stoff!P98</f>
        <v>#VALUE!</v>
      </c>
      <c r="Q98" s="287">
        <f>N98/(N98+Stoff!M98)</f>
        <v>1</v>
      </c>
      <c r="R98" s="288">
        <f>IF(ISNUMBER('1f. Kons. resipient'!E98),'1f. Kons. resipient'!E98,0)</f>
        <v>0</v>
      </c>
      <c r="S98" s="288">
        <f>0.000000001*'1a. Spredningsmodell input'!$C$36*R98*1000</f>
        <v>0</v>
      </c>
      <c r="T98" s="288">
        <f>1/'1a. Spredningsmodell input'!$C$35</f>
        <v>1</v>
      </c>
      <c r="U98" s="288">
        <f>1/'1a. Spredningsmodell input'!$C$35</f>
        <v>1</v>
      </c>
      <c r="V98" s="300" t="e">
        <f>(1/($N98+Stoff!$L98))*(LN(($D98*$I98/($D98*$I98+$J98))*($F98+Stoff!$L98+$N98+Stoff!$M98)/($N98+Stoff!$M98)))</f>
        <v>#VALUE!</v>
      </c>
      <c r="W98" s="290" t="e">
        <f>($D98-Stoff!$P98*$D98)*EXP(-($F98+Stoff!$L98*365)*V98)</f>
        <v>#VALUE!</v>
      </c>
      <c r="X98" s="291" t="e">
        <f>(Stoff!$P98*$D98)*EXP(-'1a. Spredningsmodell input'!$B$43*V98)</f>
        <v>#VALUE!</v>
      </c>
      <c r="Y98" s="290" t="e">
        <f>($D98-Stoff!$P98*$D98-W98)*($F98/($F98+Stoff!$L98*365))</f>
        <v>#VALUE!</v>
      </c>
      <c r="Z98" s="290" t="e">
        <f>(Stoff!$P98*$D98)-X98</f>
        <v>#VALUE!</v>
      </c>
      <c r="AA98" s="290" t="e">
        <f>($O98+Y98)*EXP(-($N98+Stoff!$M98*365)*V98)</f>
        <v>#VALUE!</v>
      </c>
      <c r="AB98" s="290" t="e">
        <f>(Stoff!$P98*$O98+Z98)*EXP(-('1a. Spredningsmodell input'!$B$46)*V98)</f>
        <v>#VALUE!</v>
      </c>
      <c r="AC98" s="292" t="e">
        <f>((AA98+AB98)*1000000000)/('1a. Spredningsmodell input'!$B$45*1000)</f>
        <v>#VALUE!</v>
      </c>
      <c r="AD98" s="294" t="e">
        <f>0.001*AC98/('1a. Spredningsmodell input'!$C$25+'1a. Spredningsmodell input'!$C$26/Mellomregninger!$K98)</f>
        <v>#VALUE!</v>
      </c>
      <c r="AE98" s="294" t="e">
        <f>1000*AD98/$K98+AB98*1000000000/('1a. Spredningsmodell input'!$B$45*1000)</f>
        <v>#VALUE!</v>
      </c>
      <c r="AF98" s="294" t="e">
        <f t="shared" si="35"/>
        <v>#VALUE!</v>
      </c>
      <c r="AG98" s="294" t="e">
        <f>AB98*1000000000/('1a. Spredningsmodell input'!$B$45*1000)</f>
        <v>#VALUE!</v>
      </c>
      <c r="AH98" s="300" t="e">
        <f>(1/('1a. Spredningsmodell input'!$B$46))*(LN(($D98*Stoff!$P98/($D98*Stoff!$P98+$P98*Stoff!$P98))*('1a. Spredningsmodell input'!$B$43+'1a. Spredningsmodell input'!$B$46)/('1a. Spredningsmodell input'!$B$46)))</f>
        <v>#VALUE!</v>
      </c>
      <c r="AI98" s="290" t="e">
        <f>($D98-Stoff!$P98*$D98)*EXP(-($F98+Stoff!$L98*365)*AH98)</f>
        <v>#VALUE!</v>
      </c>
      <c r="AJ98" s="291" t="e">
        <f>(Stoff!$P98*$D98)*EXP(-'1a. Spredningsmodell input'!$B$43*AH98)</f>
        <v>#VALUE!</v>
      </c>
      <c r="AK98" s="290" t="e">
        <f>($D98-Stoff!$P98*$D98-AI98)*($F98/($F98+Stoff!$L98*365))</f>
        <v>#VALUE!</v>
      </c>
      <c r="AL98" s="290" t="e">
        <f>(Stoff!$P98*$D98)-AJ98</f>
        <v>#VALUE!</v>
      </c>
      <c r="AM98" s="290" t="e">
        <f>($O98+AK98)*EXP(-($N98+Stoff!$M98*365)*AH98)</f>
        <v>#VALUE!</v>
      </c>
      <c r="AN98" s="290" t="e">
        <f>(Stoff!$P98*$O98+AL98)*EXP(-('1a. Spredningsmodell input'!$B$46)*AH98)</f>
        <v>#VALUE!</v>
      </c>
      <c r="AO98" s="292" t="e">
        <f>((AM98+AN98)*1000000000)/('1a. Spredningsmodell input'!$B$45*1000)</f>
        <v>#VALUE!</v>
      </c>
      <c r="AP98" s="294" t="e">
        <f>0.001*AO98/('1a. Spredningsmodell input'!$C$25+'1a. Spredningsmodell input'!$C$26/Mellomregninger!$K98)</f>
        <v>#VALUE!</v>
      </c>
      <c r="AQ98" s="294" t="e">
        <f>1000*AP98/$K98+AN98*1000000000/('1a. Spredningsmodell input'!$B$45*1000)</f>
        <v>#VALUE!</v>
      </c>
      <c r="AR98" s="294" t="e">
        <f t="shared" si="36"/>
        <v>#VALUE!</v>
      </c>
      <c r="AS98" s="294" t="e">
        <f>AN98*1000000000/('1a. Spredningsmodell input'!$B$45*1000)</f>
        <v>#VALUE!</v>
      </c>
      <c r="AT98" s="295">
        <f t="shared" si="37"/>
        <v>5</v>
      </c>
      <c r="AU98" s="290" t="e">
        <f>($D98-Stoff!$P98*$D98)*EXP(-($F98+Stoff!$L98*365)*AT98)</f>
        <v>#VALUE!</v>
      </c>
      <c r="AV98" s="291" t="e">
        <f>(Stoff!$P98*$D98)*EXP(-'1a. Spredningsmodell input'!$B$43*AT98)</f>
        <v>#VALUE!</v>
      </c>
      <c r="AW98" s="290" t="e">
        <f>($D98-Stoff!$P98*$D98-AU98)*($F98/($F98+Stoff!$L98*365))</f>
        <v>#VALUE!</v>
      </c>
      <c r="AX98" s="290" t="e">
        <f>(Stoff!$P98*$D98)-AV98</f>
        <v>#VALUE!</v>
      </c>
      <c r="AY98" s="290" t="e">
        <f>($O98+AW98)*EXP(-($N98+Stoff!$M98*365)*AT98)</f>
        <v>#VALUE!</v>
      </c>
      <c r="AZ98" s="290" t="e">
        <f>(Stoff!$P98*$O98+AX98)*EXP(-('1a. Spredningsmodell input'!$B$46)*AT98)</f>
        <v>#VALUE!</v>
      </c>
      <c r="BA98" s="292" t="e">
        <f>((AY98+AZ98)*1000000000)/('1a. Spredningsmodell input'!$B$45*1000)</f>
        <v>#VALUE!</v>
      </c>
      <c r="BB98" s="294" t="e">
        <f>0.001*BA98/('1a. Spredningsmodell input'!$C$25+'1a. Spredningsmodell input'!$C$26/Mellomregninger!$K98)</f>
        <v>#VALUE!</v>
      </c>
      <c r="BC98" s="294" t="e">
        <f>1000*BB98/$K98+AZ98*1000000000/('1a. Spredningsmodell input'!$B$45*1000)</f>
        <v>#VALUE!</v>
      </c>
      <c r="BD98" s="294" t="e">
        <f t="shared" si="38"/>
        <v>#VALUE!</v>
      </c>
      <c r="BE98" s="294" t="e">
        <f>AZ98*1000000000/('1a. Spredningsmodell input'!$B$45*1000)</f>
        <v>#VALUE!</v>
      </c>
      <c r="BF98" s="295">
        <f t="shared" si="39"/>
        <v>20</v>
      </c>
      <c r="BG98" s="290" t="e">
        <f>($D98-Stoff!$P98*$D98)*EXP(-($F98+Stoff!$L98*365)*BF98)</f>
        <v>#VALUE!</v>
      </c>
      <c r="BH98" s="291" t="e">
        <f>(Stoff!$P98*$D98)*EXP(-'1a. Spredningsmodell input'!$B$43*BF98)</f>
        <v>#VALUE!</v>
      </c>
      <c r="BI98" s="290" t="e">
        <f>($D98-Stoff!$P98*$D98-BG98)*($F98/($F98+Stoff!$L98*365))</f>
        <v>#VALUE!</v>
      </c>
      <c r="BJ98" s="290" t="e">
        <f>(Stoff!$P98*$D98)-BH98</f>
        <v>#VALUE!</v>
      </c>
      <c r="BK98" s="290" t="e">
        <f>($O98+BI98)*EXP(-($N98+Stoff!$M98*365)*BF98)</f>
        <v>#VALUE!</v>
      </c>
      <c r="BL98" s="290" t="e">
        <f>(Stoff!$P98*$O98+BJ98)*EXP(-('1a. Spredningsmodell input'!$B$46)*BF98)</f>
        <v>#VALUE!</v>
      </c>
      <c r="BM98" s="292" t="e">
        <f>((BK98+BL98)*1000000000)/('1a. Spredningsmodell input'!$B$45*1000)</f>
        <v>#VALUE!</v>
      </c>
      <c r="BN98" s="294" t="e">
        <f>0.001*BM98/('1a. Spredningsmodell input'!$C$25+'1a. Spredningsmodell input'!$C$26/Mellomregninger!$K98)</f>
        <v>#VALUE!</v>
      </c>
      <c r="BO98" s="294" t="e">
        <f>1000*BN98/$K98+BL98*1000000000/('1a. Spredningsmodell input'!$B$45*1000)</f>
        <v>#VALUE!</v>
      </c>
      <c r="BP98" s="294" t="e">
        <f t="shared" si="40"/>
        <v>#VALUE!</v>
      </c>
      <c r="BQ98" s="294" t="e">
        <f>BL98*1000000000/('1a. Spredningsmodell input'!$B$45*1000)</f>
        <v>#VALUE!</v>
      </c>
      <c r="BR98" s="295">
        <f t="shared" si="41"/>
        <v>100</v>
      </c>
      <c r="BS98" s="290" t="e">
        <f>($D98-Stoff!$P98*$D98)*EXP(-($F98+Stoff!$L98*365)*BR98)</f>
        <v>#VALUE!</v>
      </c>
      <c r="BT98" s="291" t="e">
        <f>(Stoff!$P98*$D98)*EXP(-'1a. Spredningsmodell input'!$B$43*BR98)</f>
        <v>#VALUE!</v>
      </c>
      <c r="BU98" s="290" t="e">
        <f>($D98-Stoff!$P98*$D98-BS98)*($F98/($F98+Stoff!$L98*365))</f>
        <v>#VALUE!</v>
      </c>
      <c r="BV98" s="290" t="e">
        <f>(Stoff!$P98*$D98)-BT98</f>
        <v>#VALUE!</v>
      </c>
      <c r="BW98" s="290" t="e">
        <f>($O98+BU98)*EXP(-($N98+Stoff!$M98*365)*BR98)</f>
        <v>#VALUE!</v>
      </c>
      <c r="BX98" s="290" t="e">
        <f>(Stoff!$P98*$O98+BV98)*EXP(-('1a. Spredningsmodell input'!$B$46)*BR98)</f>
        <v>#VALUE!</v>
      </c>
      <c r="BY98" s="292" t="e">
        <f>((BW98+BX98)*1000000000)/('1a. Spredningsmodell input'!$B$45*1000)</f>
        <v>#VALUE!</v>
      </c>
      <c r="BZ98" s="294" t="e">
        <f>0.001*BY98/('1a. Spredningsmodell input'!$C$25+'1a. Spredningsmodell input'!$C$26/Mellomregninger!$K98)</f>
        <v>#VALUE!</v>
      </c>
      <c r="CA98" s="294" t="e">
        <f>1000*BZ98/$K98+BX98*1000000000/('1a. Spredningsmodell input'!$B$45*1000)</f>
        <v>#VALUE!</v>
      </c>
      <c r="CB98" s="294" t="e">
        <f t="shared" si="42"/>
        <v>#VALUE!</v>
      </c>
      <c r="CC98" s="294" t="e">
        <f>BX98*1000000000/('1a. Spredningsmodell input'!$B$45*1000)</f>
        <v>#VALUE!</v>
      </c>
      <c r="CD98" s="294" t="e">
        <f>V98+'1a. Spredningsmodell input'!$C$35</f>
        <v>#VALUE!</v>
      </c>
      <c r="CE98" s="294" t="e">
        <f>($S98+$Q98*($O98+$I98*($D98*(1-Stoff!$P98))*(1-EXP(-($F98+Stoff!$L98*365)*CD98)))*(1-EXP(-($N98+Stoff!$M98*365)*CD98)))</f>
        <v>#VALUE!</v>
      </c>
      <c r="CF98" s="294" t="e">
        <f t="shared" si="43"/>
        <v>#VALUE!</v>
      </c>
      <c r="CG98" s="296" t="e">
        <f>(CF98/1000000)*'1a. Spredningsmodell input'!$B$49*'1a. Spredningsmodell input'!$C$35</f>
        <v>#VALUE!</v>
      </c>
      <c r="CH98" s="294" t="e">
        <f t="shared" si="44"/>
        <v>#VALUE!</v>
      </c>
      <c r="CI98" s="290" t="e">
        <f>(CH98/1000000)*'1a. Spredningsmodell input'!$B$49*'1a. Spredningsmodell input'!$C$35</f>
        <v>#VALUE!</v>
      </c>
      <c r="CJ98" s="297" t="e">
        <f>($S98)*EXP(-(Stoff!$N98*365+$U98)*CD98)+CG98</f>
        <v>#VALUE!</v>
      </c>
      <c r="CK98" s="297" t="e">
        <f>(Stoff!$P98*$S98+CI98)*EXP(-$T98*CD98)</f>
        <v>#VALUE!</v>
      </c>
      <c r="CL98" s="297" t="e">
        <f>(CJ98+CK98)*1000000000/('1a. Spredningsmodell input'!$C$36*1000)</f>
        <v>#VALUE!</v>
      </c>
      <c r="CM98" s="297" t="e">
        <f>$G98*(1-EXP(-'1a. Spredningsmodell input'!$B$43*Mellomregninger!CD98))*(1-EXP(-'1a. Spredningsmodell input'!$B$46*Mellomregninger!CD98))</f>
        <v>#VALUE!</v>
      </c>
      <c r="CN98" s="297"/>
      <c r="CO98" s="297"/>
      <c r="CP98" s="290">
        <f>IF(ISNUMBER(AH98),AH98+'1a. Spredningsmodell input'!$C$35,'1a. Spredningsmodell input'!$C$35)</f>
        <v>1</v>
      </c>
      <c r="CQ98" s="294" t="e">
        <f>($S98+$Q98*($O98+$I98*($D98*(1-Stoff!$P98))*(1-EXP(-($F98+Stoff!$L98*365)*CP98)))*(1-EXP(-($N98+Stoff!$M98*365)*CP98)))</f>
        <v>#VALUE!</v>
      </c>
      <c r="CR98" s="294" t="e">
        <f t="shared" si="45"/>
        <v>#VALUE!</v>
      </c>
      <c r="CS98" s="296" t="e">
        <f>(CR98/1000000)*('1a. Spredningsmodell input'!$B$49*'1a. Spredningsmodell input'!$C$35)</f>
        <v>#VALUE!</v>
      </c>
      <c r="CT98" s="294" t="e">
        <f t="shared" si="46"/>
        <v>#VALUE!</v>
      </c>
      <c r="CU98" s="290" t="e">
        <f>(CT98/1000000)*('1a. Spredningsmodell input'!$B$49)*'1a. Spredningsmodell input'!$C$35</f>
        <v>#VALUE!</v>
      </c>
      <c r="CV98" s="297" t="e">
        <f>($S98)*EXP(-(Stoff!$N98*365+$U98)*CP98)+CS98</f>
        <v>#VALUE!</v>
      </c>
      <c r="CW98" s="297" t="e">
        <f>(Stoff!$P98*$S98+CU98)*EXP(-$T98*CP98)</f>
        <v>#VALUE!</v>
      </c>
      <c r="CX98" s="297">
        <f>IF(ISERROR(CV98),0,(CV98+CW98)*1000000000/('1a. Spredningsmodell input'!$C$36*1000))</f>
        <v>0</v>
      </c>
      <c r="CY98" s="297" t="e">
        <f>$G98*(1-EXP(-'1a. Spredningsmodell input'!$B$43*Mellomregninger!CP98))*(1-EXP(-'1a. Spredningsmodell input'!$B$46*Mellomregninger!CP98))</f>
        <v>#VALUE!</v>
      </c>
      <c r="CZ98" s="297"/>
      <c r="DA98" s="297"/>
      <c r="DB98" s="262">
        <f t="shared" si="47"/>
        <v>5</v>
      </c>
      <c r="DC98" s="298" t="e">
        <f>($S98+$Q98*($O98+$I98*($D98*(1-Stoff!$P98))*(1-EXP(-($F98+Stoff!$L98*365)*DB98)))*(1-EXP(-($N98+Stoff!$M98*365)*DB98)))</f>
        <v>#VALUE!</v>
      </c>
      <c r="DD98" s="294" t="e">
        <f t="shared" si="48"/>
        <v>#VALUE!</v>
      </c>
      <c r="DE98" s="296" t="e">
        <f>(DD98/1000000)*('1a. Spredningsmodell input'!$B$49)*'1a. Spredningsmodell input'!$C$35</f>
        <v>#VALUE!</v>
      </c>
      <c r="DF98" s="294" t="e">
        <f t="shared" si="49"/>
        <v>#VALUE!</v>
      </c>
      <c r="DG98" s="290" t="e">
        <f>(DF98/1000000)*('1a. Spredningsmodell input'!$B$49)*'1a. Spredningsmodell input'!$C$35</f>
        <v>#VALUE!</v>
      </c>
      <c r="DH98" s="297" t="e">
        <f>($S98)*EXP(-(Stoff!$N98*365+$U98)*DB98)+DE98</f>
        <v>#VALUE!</v>
      </c>
      <c r="DI98" s="297" t="e">
        <f>(Stoff!$P98*$S98+DG98)*EXP(-$T98*DB98)</f>
        <v>#VALUE!</v>
      </c>
      <c r="DJ98" s="297" t="e">
        <f>(DH98+DI98)*1000000000/('1a. Spredningsmodell input'!$C$36*1000)</f>
        <v>#VALUE!</v>
      </c>
      <c r="DK98" s="297" t="e">
        <f>$G98*(1-EXP(-'1a. Spredningsmodell input'!$B$43*Mellomregninger!DB98))*(1-EXP(-'1a. Spredningsmodell input'!$B$46*Mellomregninger!DB98))</f>
        <v>#VALUE!</v>
      </c>
      <c r="DL98" s="297"/>
      <c r="DM98" s="297"/>
      <c r="DN98" s="262">
        <f t="shared" si="50"/>
        <v>20</v>
      </c>
      <c r="DO98" s="298" t="e">
        <f>($S98+$Q98*($O98+$I98*($D98*(1-Stoff!$P98))*(1-EXP(-($F98+Stoff!$L98*365)*DN98)))*(1-EXP(-($N98+Stoff!$M98*365)*DN98)))</f>
        <v>#VALUE!</v>
      </c>
      <c r="DP98" s="294" t="e">
        <f t="shared" si="51"/>
        <v>#VALUE!</v>
      </c>
      <c r="DQ98" s="296" t="e">
        <f>(DP98/1000000)*('1a. Spredningsmodell input'!$B$49)*'1a. Spredningsmodell input'!$C$35</f>
        <v>#VALUE!</v>
      </c>
      <c r="DR98" s="294" t="e">
        <f t="shared" si="52"/>
        <v>#VALUE!</v>
      </c>
      <c r="DS98" s="290" t="e">
        <f>(DR98/1000000)*('1a. Spredningsmodell input'!$B$49)*'1a. Spredningsmodell input'!$C$35</f>
        <v>#VALUE!</v>
      </c>
      <c r="DT98" s="297" t="e">
        <f>($S98)*EXP(-(Stoff!$N98*365+$U98)*DN98)+DQ98</f>
        <v>#VALUE!</v>
      </c>
      <c r="DU98" s="297" t="e">
        <f>(Stoff!$P98*$S98+DS98)*EXP(-$T98*DN98)</f>
        <v>#VALUE!</v>
      </c>
      <c r="DV98" s="297" t="e">
        <f>(DT98+DU98)*1000000000/('1a. Spredningsmodell input'!$C$36*1000)</f>
        <v>#VALUE!</v>
      </c>
      <c r="DW98" s="297" t="e">
        <f>$G98*(1-EXP(-'1a. Spredningsmodell input'!$B$43*Mellomregninger!DN98))*(1-EXP(-'1a. Spredningsmodell input'!$B$46*Mellomregninger!DN98))</f>
        <v>#VALUE!</v>
      </c>
      <c r="DX98" s="297"/>
      <c r="DY98" s="297"/>
      <c r="DZ98" s="262">
        <f t="shared" si="53"/>
        <v>100</v>
      </c>
      <c r="EA98" s="298" t="e">
        <f>($S98+$Q98*($O98+$I98*($D98*(1-Stoff!$P98))*(1-EXP(-($F98+Stoff!$L98*365)*DZ98)))*(1-EXP(-($N98+Stoff!$M98*365)*DZ98)))</f>
        <v>#VALUE!</v>
      </c>
      <c r="EB98" s="294" t="e">
        <f t="shared" si="54"/>
        <v>#VALUE!</v>
      </c>
      <c r="EC98" s="296" t="e">
        <f>(EB98/1000000)*('1a. Spredningsmodell input'!$B$49)*'1a. Spredningsmodell input'!$C$35</f>
        <v>#VALUE!</v>
      </c>
      <c r="ED98" s="294" t="e">
        <f t="shared" si="55"/>
        <v>#VALUE!</v>
      </c>
      <c r="EE98" s="290" t="e">
        <f>(ED98/1000000)*('1a. Spredningsmodell input'!$B$49)*'1a. Spredningsmodell input'!$C$35</f>
        <v>#VALUE!</v>
      </c>
      <c r="EF98" s="297" t="e">
        <f>($S98)*EXP(-(Stoff!$N98*365+$U98)*DZ98)+EC98</f>
        <v>#VALUE!</v>
      </c>
      <c r="EG98" s="297" t="e">
        <f>(Stoff!$P98*$S98+EE98)*EXP(-$T98*DZ98)</f>
        <v>#VALUE!</v>
      </c>
      <c r="EH98" s="297" t="e">
        <f>(EF98+EG98)*1000000000/('1a. Spredningsmodell input'!$C$36*1000)</f>
        <v>#VALUE!</v>
      </c>
      <c r="EI98" s="297" t="e">
        <f>$G98*(1-EXP(-'1a. Spredningsmodell input'!$B$43*Mellomregninger!DZ98))*(1-EXP(-'1a. Spredningsmodell input'!$B$46*Mellomregninger!DZ98))</f>
        <v>#VALUE!</v>
      </c>
      <c r="EJ98" s="297"/>
      <c r="EK98" s="297"/>
      <c r="EL98" s="262">
        <f t="shared" si="56"/>
        <v>1.0000000000000001E+25</v>
      </c>
      <c r="EM98" s="294" t="e">
        <f>($S98+$Q98*($O98+$I98*($D98*(1-Stoff!$P98))*(1-EXP(-($F98+Stoff!$L98*365)*EL98)))*(1-EXP(-($N98+Stoff!$M98*365)*EL98)))</f>
        <v>#VALUE!</v>
      </c>
      <c r="EN98" s="296" t="e">
        <f>($S98+$Q98*($O98+$I98*($D98*(1-Stoff!$P98))*(1-EXP(-($F98+Stoff!$L98*365)*(EL98-'1a. Spredningsmodell input'!$C$35))))*(1-EXP(-($N98+Stoff!$M98*365)*(EL98-'1a. Spredningsmodell input'!$C$35))))</f>
        <v>#VALUE!</v>
      </c>
      <c r="EO98" s="294" t="e">
        <f>IF(EL98&lt;'1a. Spredningsmodell input'!$C$35,EM98-($S98)*EXP(-(Stoff!$N98*365+$U98)*EL98),EM98-EN98)</f>
        <v>#VALUE!</v>
      </c>
      <c r="EP98" s="290" t="e">
        <f>((($D98*(Stoff!$P98))*(1-EXP(-'1a. Spredningsmodell input'!$B$43*EL98)))*(1-EXP(-'1a. Spredningsmodell input'!$B$46*EL98)))</f>
        <v>#VALUE!</v>
      </c>
      <c r="EQ98" s="294" t="e">
        <f>((($D98*(Stoff!$P98))*(1-EXP(-'1a. Spredningsmodell input'!$B$43*(EL98-'1a. Spredningsmodell input'!$C$35))))*(1-EXP(-'1a. Spredningsmodell input'!$B$46*(EL98-'1a. Spredningsmodell input'!$C$35))))</f>
        <v>#VALUE!</v>
      </c>
      <c r="ER98" s="290" t="e">
        <f>IF(EL98&lt;'1a. Spredningsmodell input'!$C$35,0,EP98-EQ98)</f>
        <v>#VALUE!</v>
      </c>
      <c r="ES98" s="297" t="e">
        <f>($S98)*EXP(-(Stoff!$N98*365+$U98)*EL98)+EO98</f>
        <v>#VALUE!</v>
      </c>
      <c r="ET98" s="297" t="e">
        <f>(Stoff!$P98*$S98+ER98)*EXP(-$T98*EL98)</f>
        <v>#VALUE!</v>
      </c>
      <c r="EU98" s="297" t="e">
        <f>(ES98+ET98)*1000000000/('1a. Spredningsmodell input'!$C$36*1000)</f>
        <v>#VALUE!</v>
      </c>
      <c r="EV98" s="262" t="e">
        <f t="shared" si="57"/>
        <v>#VALUE!</v>
      </c>
      <c r="EW98" s="299" t="e">
        <f t="shared" si="58"/>
        <v>#VALUE!</v>
      </c>
      <c r="EX98" s="262" t="e">
        <f t="shared" si="59"/>
        <v>#VALUE!</v>
      </c>
    </row>
    <row r="99" spans="1:154" x14ac:dyDescent="0.35">
      <c r="A99" s="301" t="str">
        <f>Stoff!A99</f>
        <v>nystoff 13</v>
      </c>
      <c r="B99" s="34" t="str">
        <f>IF(ISNUMBER('1c. Kons. porevann'!E99),1000*'1c. Kons. porevann'!E99,IF(ISNUMBER('1b. Kons. umettet jord'!E99),1000*'1b. Kons. umettet jord'!E99/C99,""))</f>
        <v/>
      </c>
      <c r="C99" s="244">
        <f>IF(Stoff!B99="uorganisk",Stoff!C99,Stoff!D99*'1a. Spredningsmodell input'!$C$11)</f>
        <v>0</v>
      </c>
      <c r="D99" s="34" t="str">
        <f>IF(ISNUMBER(B99),0.000001*('1b. Kons. umettet jord'!G99*'1a. Spredningsmodell input'!$C$12+B99*0.001*'1a. Spredningsmodell input'!$C$14)*1000*'1a. Spredningsmodell input'!$B$41*'1a. Spredningsmodell input'!$C$18,"")</f>
        <v/>
      </c>
      <c r="E99" s="283">
        <f>C99*'1a. Spredningsmodell input'!$C$12/'1a. Spredningsmodell input'!$C$14+1</f>
        <v>1</v>
      </c>
      <c r="F99" s="284">
        <f>'1a. Spredningsmodell input'!$B$43/E99</f>
        <v>1.4999999999999998</v>
      </c>
      <c r="G99" s="34" t="e">
        <f>Stoff!P99*Mellomregninger!D99</f>
        <v>#VALUE!</v>
      </c>
      <c r="H99" s="283" t="e">
        <f>(D99-G99)*(F99/(F99+Stoff!L99))</f>
        <v>#VALUE!</v>
      </c>
      <c r="I99" s="283">
        <f>F99/(F99+Stoff!L99)</f>
        <v>1</v>
      </c>
      <c r="J99" s="285" t="str">
        <f>IF(B99="","",IF(ISNUMBER('1d. Kons. mettet sone'!E99),'1d. Kons. mettet sone'!E99,IF(ISNUMBER('1e. Kons. grunnvann'!E99),'1e. Kons. grunnvann'!E99*Mellomregninger!K99,0)))</f>
        <v/>
      </c>
      <c r="K99" s="286">
        <f>IF(Stoff!B99="uorganisk",Stoff!C99,Stoff!D99*'1a. Spredningsmodell input'!$C$24)</f>
        <v>0</v>
      </c>
      <c r="L99" s="27" t="e">
        <f>IF(ISNUMBER('1e. Kons. grunnvann'!E99),1000*'1e. Kons. grunnvann'!E99,1000*J99/K99)</f>
        <v>#VALUE!</v>
      </c>
      <c r="M99" s="34">
        <f>K99*'1a. Spredningsmodell input'!$C$25/'1a. Spredningsmodell input'!$C$26+1</f>
        <v>1</v>
      </c>
      <c r="N99" s="284">
        <f>'1a. Spredningsmodell input'!$C$26/M99</f>
        <v>0.4</v>
      </c>
      <c r="O99" s="287" t="e">
        <f>0.000000001*(J99*'1a. Spredningsmodell input'!$C$25+L99)*1000*'1a. Spredningsmodell input'!$B$45</f>
        <v>#VALUE!</v>
      </c>
      <c r="P99" s="287" t="e">
        <f>O99*Stoff!P99</f>
        <v>#VALUE!</v>
      </c>
      <c r="Q99" s="287">
        <f>N99/(N99+Stoff!M99)</f>
        <v>1</v>
      </c>
      <c r="R99" s="288">
        <f>IF(ISNUMBER('1f. Kons. resipient'!E99),'1f. Kons. resipient'!E99,0)</f>
        <v>0</v>
      </c>
      <c r="S99" s="288">
        <f>0.000000001*'1a. Spredningsmodell input'!$C$36*R99*1000</f>
        <v>0</v>
      </c>
      <c r="T99" s="288">
        <f>1/'1a. Spredningsmodell input'!$C$35</f>
        <v>1</v>
      </c>
      <c r="U99" s="288">
        <f>1/'1a. Spredningsmodell input'!$C$35</f>
        <v>1</v>
      </c>
      <c r="V99" s="300" t="e">
        <f>(1/($N99+Stoff!$L99))*(LN(($D99*$I99/($D99*$I99+$J99))*($F99+Stoff!$L99+$N99+Stoff!$M99)/($N99+Stoff!$M99)))</f>
        <v>#VALUE!</v>
      </c>
      <c r="W99" s="290" t="e">
        <f>($D99-Stoff!$P99*$D99)*EXP(-($F99+Stoff!$L99*365)*V99)</f>
        <v>#VALUE!</v>
      </c>
      <c r="X99" s="291" t="e">
        <f>(Stoff!$P99*$D99)*EXP(-'1a. Spredningsmodell input'!$B$43*V99)</f>
        <v>#VALUE!</v>
      </c>
      <c r="Y99" s="290" t="e">
        <f>($D99-Stoff!$P99*$D99-W99)*($F99/($F99+Stoff!$L99*365))</f>
        <v>#VALUE!</v>
      </c>
      <c r="Z99" s="290" t="e">
        <f>(Stoff!$P99*$D99)-X99</f>
        <v>#VALUE!</v>
      </c>
      <c r="AA99" s="290" t="e">
        <f>($O99+Y99)*EXP(-($N99+Stoff!$M99*365)*V99)</f>
        <v>#VALUE!</v>
      </c>
      <c r="AB99" s="290" t="e">
        <f>(Stoff!$P99*$O99+Z99)*EXP(-('1a. Spredningsmodell input'!$B$46)*V99)</f>
        <v>#VALUE!</v>
      </c>
      <c r="AC99" s="292" t="e">
        <f>((AA99+AB99)*1000000000)/('1a. Spredningsmodell input'!$B$45*1000)</f>
        <v>#VALUE!</v>
      </c>
      <c r="AD99" s="294" t="e">
        <f>0.001*AC99/('1a. Spredningsmodell input'!$C$25+'1a. Spredningsmodell input'!$C$26/Mellomregninger!$K99)</f>
        <v>#VALUE!</v>
      </c>
      <c r="AE99" s="294" t="e">
        <f>1000*AD99/$K99+AB99*1000000000/('1a. Spredningsmodell input'!$B$45*1000)</f>
        <v>#VALUE!</v>
      </c>
      <c r="AF99" s="294" t="e">
        <f t="shared" si="35"/>
        <v>#VALUE!</v>
      </c>
      <c r="AG99" s="294" t="e">
        <f>AB99*1000000000/('1a. Spredningsmodell input'!$B$45*1000)</f>
        <v>#VALUE!</v>
      </c>
      <c r="AH99" s="300" t="e">
        <f>(1/('1a. Spredningsmodell input'!$B$46))*(LN(($D99*Stoff!$P99/($D99*Stoff!$P99+$P99*Stoff!$P99))*('1a. Spredningsmodell input'!$B$43+'1a. Spredningsmodell input'!$B$46)/('1a. Spredningsmodell input'!$B$46)))</f>
        <v>#VALUE!</v>
      </c>
      <c r="AI99" s="290" t="e">
        <f>($D99-Stoff!$P99*$D99)*EXP(-($F99+Stoff!$L99*365)*AH99)</f>
        <v>#VALUE!</v>
      </c>
      <c r="AJ99" s="291" t="e">
        <f>(Stoff!$P99*$D99)*EXP(-'1a. Spredningsmodell input'!$B$43*AH99)</f>
        <v>#VALUE!</v>
      </c>
      <c r="AK99" s="290" t="e">
        <f>($D99-Stoff!$P99*$D99-AI99)*($F99/($F99+Stoff!$L99*365))</f>
        <v>#VALUE!</v>
      </c>
      <c r="AL99" s="290" t="e">
        <f>(Stoff!$P99*$D99)-AJ99</f>
        <v>#VALUE!</v>
      </c>
      <c r="AM99" s="290" t="e">
        <f>($O99+AK99)*EXP(-($N99+Stoff!$M99*365)*AH99)</f>
        <v>#VALUE!</v>
      </c>
      <c r="AN99" s="290" t="e">
        <f>(Stoff!$P99*$O99+AL99)*EXP(-('1a. Spredningsmodell input'!$B$46)*AH99)</f>
        <v>#VALUE!</v>
      </c>
      <c r="AO99" s="292" t="e">
        <f>((AM99+AN99)*1000000000)/('1a. Spredningsmodell input'!$B$45*1000)</f>
        <v>#VALUE!</v>
      </c>
      <c r="AP99" s="294" t="e">
        <f>0.001*AO99/('1a. Spredningsmodell input'!$C$25+'1a. Spredningsmodell input'!$C$26/Mellomregninger!$K99)</f>
        <v>#VALUE!</v>
      </c>
      <c r="AQ99" s="294" t="e">
        <f>1000*AP99/$K99+AN99*1000000000/('1a. Spredningsmodell input'!$B$45*1000)</f>
        <v>#VALUE!</v>
      </c>
      <c r="AR99" s="294" t="e">
        <f t="shared" si="36"/>
        <v>#VALUE!</v>
      </c>
      <c r="AS99" s="294" t="e">
        <f>AN99*1000000000/('1a. Spredningsmodell input'!$B$45*1000)</f>
        <v>#VALUE!</v>
      </c>
      <c r="AT99" s="295">
        <f t="shared" si="37"/>
        <v>5</v>
      </c>
      <c r="AU99" s="290" t="e">
        <f>($D99-Stoff!$P99*$D99)*EXP(-($F99+Stoff!$L99*365)*AT99)</f>
        <v>#VALUE!</v>
      </c>
      <c r="AV99" s="291" t="e">
        <f>(Stoff!$P99*$D99)*EXP(-'1a. Spredningsmodell input'!$B$43*AT99)</f>
        <v>#VALUE!</v>
      </c>
      <c r="AW99" s="290" t="e">
        <f>($D99-Stoff!$P99*$D99-AU99)*($F99/($F99+Stoff!$L99*365))</f>
        <v>#VALUE!</v>
      </c>
      <c r="AX99" s="290" t="e">
        <f>(Stoff!$P99*$D99)-AV99</f>
        <v>#VALUE!</v>
      </c>
      <c r="AY99" s="290" t="e">
        <f>($O99+AW99)*EXP(-($N99+Stoff!$M99*365)*AT99)</f>
        <v>#VALUE!</v>
      </c>
      <c r="AZ99" s="290" t="e">
        <f>(Stoff!$P99*$O99+AX99)*EXP(-('1a. Spredningsmodell input'!$B$46)*AT99)</f>
        <v>#VALUE!</v>
      </c>
      <c r="BA99" s="292" t="e">
        <f>((AY99+AZ99)*1000000000)/('1a. Spredningsmodell input'!$B$45*1000)</f>
        <v>#VALUE!</v>
      </c>
      <c r="BB99" s="294" t="e">
        <f>0.001*BA99/('1a. Spredningsmodell input'!$C$25+'1a. Spredningsmodell input'!$C$26/Mellomregninger!$K99)</f>
        <v>#VALUE!</v>
      </c>
      <c r="BC99" s="294" t="e">
        <f>1000*BB99/$K99+AZ99*1000000000/('1a. Spredningsmodell input'!$B$45*1000)</f>
        <v>#VALUE!</v>
      </c>
      <c r="BD99" s="294" t="e">
        <f t="shared" si="38"/>
        <v>#VALUE!</v>
      </c>
      <c r="BE99" s="294" t="e">
        <f>AZ99*1000000000/('1a. Spredningsmodell input'!$B$45*1000)</f>
        <v>#VALUE!</v>
      </c>
      <c r="BF99" s="295">
        <f t="shared" si="39"/>
        <v>20</v>
      </c>
      <c r="BG99" s="290" t="e">
        <f>($D99-Stoff!$P99*$D99)*EXP(-($F99+Stoff!$L99*365)*BF99)</f>
        <v>#VALUE!</v>
      </c>
      <c r="BH99" s="291" t="e">
        <f>(Stoff!$P99*$D99)*EXP(-'1a. Spredningsmodell input'!$B$43*BF99)</f>
        <v>#VALUE!</v>
      </c>
      <c r="BI99" s="290" t="e">
        <f>($D99-Stoff!$P99*$D99-BG99)*($F99/($F99+Stoff!$L99*365))</f>
        <v>#VALUE!</v>
      </c>
      <c r="BJ99" s="290" t="e">
        <f>(Stoff!$P99*$D99)-BH99</f>
        <v>#VALUE!</v>
      </c>
      <c r="BK99" s="290" t="e">
        <f>($O99+BI99)*EXP(-($N99+Stoff!$M99*365)*BF99)</f>
        <v>#VALUE!</v>
      </c>
      <c r="BL99" s="290" t="e">
        <f>(Stoff!$P99*$O99+BJ99)*EXP(-('1a. Spredningsmodell input'!$B$46)*BF99)</f>
        <v>#VALUE!</v>
      </c>
      <c r="BM99" s="292" t="e">
        <f>((BK99+BL99)*1000000000)/('1a. Spredningsmodell input'!$B$45*1000)</f>
        <v>#VALUE!</v>
      </c>
      <c r="BN99" s="294" t="e">
        <f>0.001*BM99/('1a. Spredningsmodell input'!$C$25+'1a. Spredningsmodell input'!$C$26/Mellomregninger!$K99)</f>
        <v>#VALUE!</v>
      </c>
      <c r="BO99" s="294" t="e">
        <f>1000*BN99/$K99+BL99*1000000000/('1a. Spredningsmodell input'!$B$45*1000)</f>
        <v>#VALUE!</v>
      </c>
      <c r="BP99" s="294" t="e">
        <f t="shared" si="40"/>
        <v>#VALUE!</v>
      </c>
      <c r="BQ99" s="294" t="e">
        <f>BL99*1000000000/('1a. Spredningsmodell input'!$B$45*1000)</f>
        <v>#VALUE!</v>
      </c>
      <c r="BR99" s="295">
        <f t="shared" si="41"/>
        <v>100</v>
      </c>
      <c r="BS99" s="290" t="e">
        <f>($D99-Stoff!$P99*$D99)*EXP(-($F99+Stoff!$L99*365)*BR99)</f>
        <v>#VALUE!</v>
      </c>
      <c r="BT99" s="291" t="e">
        <f>(Stoff!$P99*$D99)*EXP(-'1a. Spredningsmodell input'!$B$43*BR99)</f>
        <v>#VALUE!</v>
      </c>
      <c r="BU99" s="290" t="e">
        <f>($D99-Stoff!$P99*$D99-BS99)*($F99/($F99+Stoff!$L99*365))</f>
        <v>#VALUE!</v>
      </c>
      <c r="BV99" s="290" t="e">
        <f>(Stoff!$P99*$D99)-BT99</f>
        <v>#VALUE!</v>
      </c>
      <c r="BW99" s="290" t="e">
        <f>($O99+BU99)*EXP(-($N99+Stoff!$M99*365)*BR99)</f>
        <v>#VALUE!</v>
      </c>
      <c r="BX99" s="290" t="e">
        <f>(Stoff!$P99*$O99+BV99)*EXP(-('1a. Spredningsmodell input'!$B$46)*BR99)</f>
        <v>#VALUE!</v>
      </c>
      <c r="BY99" s="292" t="e">
        <f>((BW99+BX99)*1000000000)/('1a. Spredningsmodell input'!$B$45*1000)</f>
        <v>#VALUE!</v>
      </c>
      <c r="BZ99" s="294" t="e">
        <f>0.001*BY99/('1a. Spredningsmodell input'!$C$25+'1a. Spredningsmodell input'!$C$26/Mellomregninger!$K99)</f>
        <v>#VALUE!</v>
      </c>
      <c r="CA99" s="294" t="e">
        <f>1000*BZ99/$K99+BX99*1000000000/('1a. Spredningsmodell input'!$B$45*1000)</f>
        <v>#VALUE!</v>
      </c>
      <c r="CB99" s="294" t="e">
        <f t="shared" si="42"/>
        <v>#VALUE!</v>
      </c>
      <c r="CC99" s="294" t="e">
        <f>BX99*1000000000/('1a. Spredningsmodell input'!$B$45*1000)</f>
        <v>#VALUE!</v>
      </c>
      <c r="CD99" s="294" t="e">
        <f>V99+'1a. Spredningsmodell input'!$C$35</f>
        <v>#VALUE!</v>
      </c>
      <c r="CE99" s="294" t="e">
        <f>($S99+$Q99*($O99+$I99*($D99*(1-Stoff!$P99))*(1-EXP(-($F99+Stoff!$L99*365)*CD99)))*(1-EXP(-($N99+Stoff!$M99*365)*CD99)))</f>
        <v>#VALUE!</v>
      </c>
      <c r="CF99" s="294" t="e">
        <f t="shared" si="43"/>
        <v>#VALUE!</v>
      </c>
      <c r="CG99" s="296" t="e">
        <f>(CF99/1000000)*'1a. Spredningsmodell input'!$B$49*'1a. Spredningsmodell input'!$C$35</f>
        <v>#VALUE!</v>
      </c>
      <c r="CH99" s="294" t="e">
        <f t="shared" si="44"/>
        <v>#VALUE!</v>
      </c>
      <c r="CI99" s="290" t="e">
        <f>(CH99/1000000)*'1a. Spredningsmodell input'!$B$49*'1a. Spredningsmodell input'!$C$35</f>
        <v>#VALUE!</v>
      </c>
      <c r="CJ99" s="297" t="e">
        <f>($S99)*EXP(-(Stoff!$N99*365+$U99)*CD99)+CG99</f>
        <v>#VALUE!</v>
      </c>
      <c r="CK99" s="297" t="e">
        <f>(Stoff!$P99*$S99+CI99)*EXP(-$T99*CD99)</f>
        <v>#VALUE!</v>
      </c>
      <c r="CL99" s="297" t="e">
        <f>(CJ99+CK99)*1000000000/('1a. Spredningsmodell input'!$C$36*1000)</f>
        <v>#VALUE!</v>
      </c>
      <c r="CM99" s="297" t="e">
        <f>$G99*(1-EXP(-'1a. Spredningsmodell input'!$B$43*Mellomregninger!CD99))*(1-EXP(-'1a. Spredningsmodell input'!$B$46*Mellomregninger!CD99))</f>
        <v>#VALUE!</v>
      </c>
      <c r="CN99" s="297"/>
      <c r="CO99" s="297"/>
      <c r="CP99" s="290">
        <f>IF(ISNUMBER(AH99),AH99+'1a. Spredningsmodell input'!$C$35,'1a. Spredningsmodell input'!$C$35)</f>
        <v>1</v>
      </c>
      <c r="CQ99" s="294" t="e">
        <f>($S99+$Q99*($O99+$I99*($D99*(1-Stoff!$P99))*(1-EXP(-($F99+Stoff!$L99*365)*CP99)))*(1-EXP(-($N99+Stoff!$M99*365)*CP99)))</f>
        <v>#VALUE!</v>
      </c>
      <c r="CR99" s="294" t="e">
        <f t="shared" si="45"/>
        <v>#VALUE!</v>
      </c>
      <c r="CS99" s="296" t="e">
        <f>(CR99/1000000)*('1a. Spredningsmodell input'!$B$49*'1a. Spredningsmodell input'!$C$35)</f>
        <v>#VALUE!</v>
      </c>
      <c r="CT99" s="294" t="e">
        <f t="shared" si="46"/>
        <v>#VALUE!</v>
      </c>
      <c r="CU99" s="290" t="e">
        <f>(CT99/1000000)*('1a. Spredningsmodell input'!$B$49)*'1a. Spredningsmodell input'!$C$35</f>
        <v>#VALUE!</v>
      </c>
      <c r="CV99" s="297" t="e">
        <f>($S99)*EXP(-(Stoff!$N99*365+$U99)*CP99)+CS99</f>
        <v>#VALUE!</v>
      </c>
      <c r="CW99" s="297" t="e">
        <f>(Stoff!$P99*$S99+CU99)*EXP(-$T99*CP99)</f>
        <v>#VALUE!</v>
      </c>
      <c r="CX99" s="297">
        <f>IF(ISERROR(CV99),0,(CV99+CW99)*1000000000/('1a. Spredningsmodell input'!$C$36*1000))</f>
        <v>0</v>
      </c>
      <c r="CY99" s="297" t="e">
        <f>$G99*(1-EXP(-'1a. Spredningsmodell input'!$B$43*Mellomregninger!CP99))*(1-EXP(-'1a. Spredningsmodell input'!$B$46*Mellomregninger!CP99))</f>
        <v>#VALUE!</v>
      </c>
      <c r="CZ99" s="297"/>
      <c r="DA99" s="297"/>
      <c r="DB99" s="262">
        <f t="shared" si="47"/>
        <v>5</v>
      </c>
      <c r="DC99" s="298" t="e">
        <f>($S99+$Q99*($O99+$I99*($D99*(1-Stoff!$P99))*(1-EXP(-($F99+Stoff!$L99*365)*DB99)))*(1-EXP(-($N99+Stoff!$M99*365)*DB99)))</f>
        <v>#VALUE!</v>
      </c>
      <c r="DD99" s="294" t="e">
        <f t="shared" si="48"/>
        <v>#VALUE!</v>
      </c>
      <c r="DE99" s="296" t="e">
        <f>(DD99/1000000)*('1a. Spredningsmodell input'!$B$49)*'1a. Spredningsmodell input'!$C$35</f>
        <v>#VALUE!</v>
      </c>
      <c r="DF99" s="294" t="e">
        <f t="shared" si="49"/>
        <v>#VALUE!</v>
      </c>
      <c r="DG99" s="290" t="e">
        <f>(DF99/1000000)*('1a. Spredningsmodell input'!$B$49)*'1a. Spredningsmodell input'!$C$35</f>
        <v>#VALUE!</v>
      </c>
      <c r="DH99" s="297" t="e">
        <f>($S99)*EXP(-(Stoff!$N99*365+$U99)*DB99)+DE99</f>
        <v>#VALUE!</v>
      </c>
      <c r="DI99" s="297" t="e">
        <f>(Stoff!$P99*$S99+DG99)*EXP(-$T99*DB99)</f>
        <v>#VALUE!</v>
      </c>
      <c r="DJ99" s="297" t="e">
        <f>(DH99+DI99)*1000000000/('1a. Spredningsmodell input'!$C$36*1000)</f>
        <v>#VALUE!</v>
      </c>
      <c r="DK99" s="297" t="e">
        <f>$G99*(1-EXP(-'1a. Spredningsmodell input'!$B$43*Mellomregninger!DB99))*(1-EXP(-'1a. Spredningsmodell input'!$B$46*Mellomregninger!DB99))</f>
        <v>#VALUE!</v>
      </c>
      <c r="DL99" s="297"/>
      <c r="DM99" s="297"/>
      <c r="DN99" s="262">
        <f t="shared" si="50"/>
        <v>20</v>
      </c>
      <c r="DO99" s="298" t="e">
        <f>($S99+$Q99*($O99+$I99*($D99*(1-Stoff!$P99))*(1-EXP(-($F99+Stoff!$L99*365)*DN99)))*(1-EXP(-($N99+Stoff!$M99*365)*DN99)))</f>
        <v>#VALUE!</v>
      </c>
      <c r="DP99" s="294" t="e">
        <f t="shared" si="51"/>
        <v>#VALUE!</v>
      </c>
      <c r="DQ99" s="296" t="e">
        <f>(DP99/1000000)*('1a. Spredningsmodell input'!$B$49)*'1a. Spredningsmodell input'!$C$35</f>
        <v>#VALUE!</v>
      </c>
      <c r="DR99" s="294" t="e">
        <f t="shared" si="52"/>
        <v>#VALUE!</v>
      </c>
      <c r="DS99" s="290" t="e">
        <f>(DR99/1000000)*('1a. Spredningsmodell input'!$B$49)*'1a. Spredningsmodell input'!$C$35</f>
        <v>#VALUE!</v>
      </c>
      <c r="DT99" s="297" t="e">
        <f>($S99)*EXP(-(Stoff!$N99*365+$U99)*DN99)+DQ99</f>
        <v>#VALUE!</v>
      </c>
      <c r="DU99" s="297" t="e">
        <f>(Stoff!$P99*$S99+DS99)*EXP(-$T99*DN99)</f>
        <v>#VALUE!</v>
      </c>
      <c r="DV99" s="297" t="e">
        <f>(DT99+DU99)*1000000000/('1a. Spredningsmodell input'!$C$36*1000)</f>
        <v>#VALUE!</v>
      </c>
      <c r="DW99" s="297" t="e">
        <f>$G99*(1-EXP(-'1a. Spredningsmodell input'!$B$43*Mellomregninger!DN99))*(1-EXP(-'1a. Spredningsmodell input'!$B$46*Mellomregninger!DN99))</f>
        <v>#VALUE!</v>
      </c>
      <c r="DX99" s="297"/>
      <c r="DY99" s="297"/>
      <c r="DZ99" s="262">
        <f t="shared" si="53"/>
        <v>100</v>
      </c>
      <c r="EA99" s="298" t="e">
        <f>($S99+$Q99*($O99+$I99*($D99*(1-Stoff!$P99))*(1-EXP(-($F99+Stoff!$L99*365)*DZ99)))*(1-EXP(-($N99+Stoff!$M99*365)*DZ99)))</f>
        <v>#VALUE!</v>
      </c>
      <c r="EB99" s="294" t="e">
        <f t="shared" si="54"/>
        <v>#VALUE!</v>
      </c>
      <c r="EC99" s="296" t="e">
        <f>(EB99/1000000)*('1a. Spredningsmodell input'!$B$49)*'1a. Spredningsmodell input'!$C$35</f>
        <v>#VALUE!</v>
      </c>
      <c r="ED99" s="294" t="e">
        <f t="shared" si="55"/>
        <v>#VALUE!</v>
      </c>
      <c r="EE99" s="290" t="e">
        <f>(ED99/1000000)*('1a. Spredningsmodell input'!$B$49)*'1a. Spredningsmodell input'!$C$35</f>
        <v>#VALUE!</v>
      </c>
      <c r="EF99" s="297" t="e">
        <f>($S99)*EXP(-(Stoff!$N99*365+$U99)*DZ99)+EC99</f>
        <v>#VALUE!</v>
      </c>
      <c r="EG99" s="297" t="e">
        <f>(Stoff!$P99*$S99+EE99)*EXP(-$T99*DZ99)</f>
        <v>#VALUE!</v>
      </c>
      <c r="EH99" s="297" t="e">
        <f>(EF99+EG99)*1000000000/('1a. Spredningsmodell input'!$C$36*1000)</f>
        <v>#VALUE!</v>
      </c>
      <c r="EI99" s="297" t="e">
        <f>$G99*(1-EXP(-'1a. Spredningsmodell input'!$B$43*Mellomregninger!DZ99))*(1-EXP(-'1a. Spredningsmodell input'!$B$46*Mellomregninger!DZ99))</f>
        <v>#VALUE!</v>
      </c>
      <c r="EJ99" s="297"/>
      <c r="EK99" s="297"/>
      <c r="EL99" s="262">
        <f t="shared" si="56"/>
        <v>1.0000000000000001E+25</v>
      </c>
      <c r="EM99" s="294" t="e">
        <f>($S99+$Q99*($O99+$I99*($D99*(1-Stoff!$P99))*(1-EXP(-($F99+Stoff!$L99*365)*EL99)))*(1-EXP(-($N99+Stoff!$M99*365)*EL99)))</f>
        <v>#VALUE!</v>
      </c>
      <c r="EN99" s="296" t="e">
        <f>($S99+$Q99*($O99+$I99*($D99*(1-Stoff!$P99))*(1-EXP(-($F99+Stoff!$L99*365)*(EL99-'1a. Spredningsmodell input'!$C$35))))*(1-EXP(-($N99+Stoff!$M99*365)*(EL99-'1a. Spredningsmodell input'!$C$35))))</f>
        <v>#VALUE!</v>
      </c>
      <c r="EO99" s="294" t="e">
        <f>IF(EL99&lt;'1a. Spredningsmodell input'!$C$35,EM99-($S99)*EXP(-(Stoff!$N99*365+$U99)*EL99),EM99-EN99)</f>
        <v>#VALUE!</v>
      </c>
      <c r="EP99" s="290" t="e">
        <f>((($D99*(Stoff!$P99))*(1-EXP(-'1a. Spredningsmodell input'!$B$43*EL99)))*(1-EXP(-'1a. Spredningsmodell input'!$B$46*EL99)))</f>
        <v>#VALUE!</v>
      </c>
      <c r="EQ99" s="294" t="e">
        <f>((($D99*(Stoff!$P99))*(1-EXP(-'1a. Spredningsmodell input'!$B$43*(EL99-'1a. Spredningsmodell input'!$C$35))))*(1-EXP(-'1a. Spredningsmodell input'!$B$46*(EL99-'1a. Spredningsmodell input'!$C$35))))</f>
        <v>#VALUE!</v>
      </c>
      <c r="ER99" s="290" t="e">
        <f>IF(EL99&lt;'1a. Spredningsmodell input'!$C$35,0,EP99-EQ99)</f>
        <v>#VALUE!</v>
      </c>
      <c r="ES99" s="297" t="e">
        <f>($S99)*EXP(-(Stoff!$N99*365+$U99)*EL99)+EO99</f>
        <v>#VALUE!</v>
      </c>
      <c r="ET99" s="297" t="e">
        <f>(Stoff!$P99*$S99+ER99)*EXP(-$T99*EL99)</f>
        <v>#VALUE!</v>
      </c>
      <c r="EU99" s="297" t="e">
        <f>(ES99+ET99)*1000000000/('1a. Spredningsmodell input'!$C$36*1000)</f>
        <v>#VALUE!</v>
      </c>
      <c r="EV99" s="262" t="e">
        <f t="shared" si="57"/>
        <v>#VALUE!</v>
      </c>
      <c r="EW99" s="299" t="e">
        <f t="shared" si="58"/>
        <v>#VALUE!</v>
      </c>
      <c r="EX99" s="262" t="e">
        <f t="shared" si="59"/>
        <v>#VALUE!</v>
      </c>
    </row>
    <row r="100" spans="1:154" x14ac:dyDescent="0.35">
      <c r="A100" s="301" t="str">
        <f>Stoff!A100</f>
        <v>nystoff 14</v>
      </c>
      <c r="B100" s="34" t="str">
        <f>IF(ISNUMBER('1c. Kons. porevann'!E100),1000*'1c. Kons. porevann'!E100,IF(ISNUMBER('1b. Kons. umettet jord'!E100),1000*'1b. Kons. umettet jord'!E100/C100,""))</f>
        <v/>
      </c>
      <c r="C100" s="244">
        <f>IF(Stoff!B100="uorganisk",Stoff!C100,Stoff!D100*'1a. Spredningsmodell input'!$C$11)</f>
        <v>0</v>
      </c>
      <c r="D100" s="34" t="str">
        <f>IF(ISNUMBER(B100),0.000001*('1b. Kons. umettet jord'!G100*'1a. Spredningsmodell input'!$C$12+B100*0.001*'1a. Spredningsmodell input'!$C$14)*1000*'1a. Spredningsmodell input'!$B$41*'1a. Spredningsmodell input'!$C$18,"")</f>
        <v/>
      </c>
      <c r="E100" s="283">
        <f>C100*'1a. Spredningsmodell input'!$C$12/'1a. Spredningsmodell input'!$C$14+1</f>
        <v>1</v>
      </c>
      <c r="F100" s="284">
        <f>'1a. Spredningsmodell input'!$B$43/E100</f>
        <v>1.4999999999999998</v>
      </c>
      <c r="G100" s="34" t="e">
        <f>Stoff!P100*Mellomregninger!D100</f>
        <v>#VALUE!</v>
      </c>
      <c r="H100" s="283" t="e">
        <f>(D100-G100)*(F100/(F100+Stoff!L100))</f>
        <v>#VALUE!</v>
      </c>
      <c r="I100" s="283">
        <f>F100/(F100+Stoff!L100)</f>
        <v>1</v>
      </c>
      <c r="J100" s="285" t="str">
        <f>IF(B100="","",IF(ISNUMBER('1d. Kons. mettet sone'!E100),'1d. Kons. mettet sone'!E100,IF(ISNUMBER('1e. Kons. grunnvann'!E100),'1e. Kons. grunnvann'!E100*Mellomregninger!K100,0)))</f>
        <v/>
      </c>
      <c r="K100" s="286">
        <f>IF(Stoff!B100="uorganisk",Stoff!C100,Stoff!D100*'1a. Spredningsmodell input'!$C$24)</f>
        <v>0</v>
      </c>
      <c r="L100" s="27" t="e">
        <f>IF(ISNUMBER('1e. Kons. grunnvann'!E100),1000*'1e. Kons. grunnvann'!E100,1000*J100/K100)</f>
        <v>#VALUE!</v>
      </c>
      <c r="M100" s="34">
        <f>K100*'1a. Spredningsmodell input'!$C$25/'1a. Spredningsmodell input'!$C$26+1</f>
        <v>1</v>
      </c>
      <c r="N100" s="284">
        <f>'1a. Spredningsmodell input'!$C$26/M100</f>
        <v>0.4</v>
      </c>
      <c r="O100" s="287" t="e">
        <f>0.000000001*(J100*'1a. Spredningsmodell input'!$C$25+L100)*1000*'1a. Spredningsmodell input'!$B$45</f>
        <v>#VALUE!</v>
      </c>
      <c r="P100" s="287" t="e">
        <f>O100*Stoff!P100</f>
        <v>#VALUE!</v>
      </c>
      <c r="Q100" s="287">
        <f>N100/(N100+Stoff!M100)</f>
        <v>1</v>
      </c>
      <c r="R100" s="288">
        <f>IF(ISNUMBER('1f. Kons. resipient'!E100),'1f. Kons. resipient'!E100,0)</f>
        <v>0</v>
      </c>
      <c r="S100" s="288">
        <f>0.000000001*'1a. Spredningsmodell input'!$C$36*R100*1000</f>
        <v>0</v>
      </c>
      <c r="T100" s="288">
        <f>1/'1a. Spredningsmodell input'!$C$35</f>
        <v>1</v>
      </c>
      <c r="U100" s="288">
        <f>1/'1a. Spredningsmodell input'!$C$35</f>
        <v>1</v>
      </c>
      <c r="V100" s="300" t="e">
        <f>(1/($N100+Stoff!$L100))*(LN(($D100*$I100/($D100*$I100+$J100))*($F100+Stoff!$L100+$N100+Stoff!$M100)/($N100+Stoff!$M100)))</f>
        <v>#VALUE!</v>
      </c>
      <c r="W100" s="290" t="e">
        <f>($D100-Stoff!$P100*$D100)*EXP(-($F100+Stoff!$L100*365)*V100)</f>
        <v>#VALUE!</v>
      </c>
      <c r="X100" s="291" t="e">
        <f>(Stoff!$P100*$D100)*EXP(-'1a. Spredningsmodell input'!$B$43*V100)</f>
        <v>#VALUE!</v>
      </c>
      <c r="Y100" s="290" t="e">
        <f>($D100-Stoff!$P100*$D100-W100)*($F100/($F100+Stoff!$L100*365))</f>
        <v>#VALUE!</v>
      </c>
      <c r="Z100" s="290" t="e">
        <f>(Stoff!$P100*$D100)-X100</f>
        <v>#VALUE!</v>
      </c>
      <c r="AA100" s="290" t="e">
        <f>($O100+Y100)*EXP(-($N100+Stoff!$M100*365)*V100)</f>
        <v>#VALUE!</v>
      </c>
      <c r="AB100" s="290" t="e">
        <f>(Stoff!$P100*$O100+Z100)*EXP(-('1a. Spredningsmodell input'!$B$46)*V100)</f>
        <v>#VALUE!</v>
      </c>
      <c r="AC100" s="292" t="e">
        <f>((AA100+AB100)*1000000000)/('1a. Spredningsmodell input'!$B$45*1000)</f>
        <v>#VALUE!</v>
      </c>
      <c r="AD100" s="294" t="e">
        <f>0.001*AC100/('1a. Spredningsmodell input'!$C$25+'1a. Spredningsmodell input'!$C$26/Mellomregninger!$K100)</f>
        <v>#VALUE!</v>
      </c>
      <c r="AE100" s="294" t="e">
        <f>1000*AD100/$K100+AB100*1000000000/('1a. Spredningsmodell input'!$B$45*1000)</f>
        <v>#VALUE!</v>
      </c>
      <c r="AF100" s="294" t="e">
        <f t="shared" si="35"/>
        <v>#VALUE!</v>
      </c>
      <c r="AG100" s="294" t="e">
        <f>AB100*1000000000/('1a. Spredningsmodell input'!$B$45*1000)</f>
        <v>#VALUE!</v>
      </c>
      <c r="AH100" s="300" t="e">
        <f>(1/('1a. Spredningsmodell input'!$B$46))*(LN(($D100*Stoff!$P100/($D100*Stoff!$P100+$P100*Stoff!$P100))*('1a. Spredningsmodell input'!$B$43+'1a. Spredningsmodell input'!$B$46)/('1a. Spredningsmodell input'!$B$46)))</f>
        <v>#VALUE!</v>
      </c>
      <c r="AI100" s="290" t="e">
        <f>($D100-Stoff!$P100*$D100)*EXP(-($F100+Stoff!$L100*365)*AH100)</f>
        <v>#VALUE!</v>
      </c>
      <c r="AJ100" s="291" t="e">
        <f>(Stoff!$P100*$D100)*EXP(-'1a. Spredningsmodell input'!$B$43*AH100)</f>
        <v>#VALUE!</v>
      </c>
      <c r="AK100" s="290" t="e">
        <f>($D100-Stoff!$P100*$D100-AI100)*($F100/($F100+Stoff!$L100*365))</f>
        <v>#VALUE!</v>
      </c>
      <c r="AL100" s="290" t="e">
        <f>(Stoff!$P100*$D100)-AJ100</f>
        <v>#VALUE!</v>
      </c>
      <c r="AM100" s="290" t="e">
        <f>($O100+AK100)*EXP(-($N100+Stoff!$M100*365)*AH100)</f>
        <v>#VALUE!</v>
      </c>
      <c r="AN100" s="290" t="e">
        <f>(Stoff!$P100*$O100+AL100)*EXP(-('1a. Spredningsmodell input'!$B$46)*AH100)</f>
        <v>#VALUE!</v>
      </c>
      <c r="AO100" s="292" t="e">
        <f>((AM100+AN100)*1000000000)/('1a. Spredningsmodell input'!$B$45*1000)</f>
        <v>#VALUE!</v>
      </c>
      <c r="AP100" s="294" t="e">
        <f>0.001*AO100/('1a. Spredningsmodell input'!$C$25+'1a. Spredningsmodell input'!$C$26/Mellomregninger!$K100)</f>
        <v>#VALUE!</v>
      </c>
      <c r="AQ100" s="294" t="e">
        <f>1000*AP100/$K100+AN100*1000000000/('1a. Spredningsmodell input'!$B$45*1000)</f>
        <v>#VALUE!</v>
      </c>
      <c r="AR100" s="294" t="e">
        <f t="shared" si="36"/>
        <v>#VALUE!</v>
      </c>
      <c r="AS100" s="294" t="e">
        <f>AN100*1000000000/('1a. Spredningsmodell input'!$B$45*1000)</f>
        <v>#VALUE!</v>
      </c>
      <c r="AT100" s="295">
        <f t="shared" ref="AT100:AT114" si="60">AT99</f>
        <v>5</v>
      </c>
      <c r="AU100" s="290" t="e">
        <f>($D100-Stoff!$P100*$D100)*EXP(-($F100+Stoff!$L100*365)*AT100)</f>
        <v>#VALUE!</v>
      </c>
      <c r="AV100" s="291" t="e">
        <f>(Stoff!$P100*$D100)*EXP(-'1a. Spredningsmodell input'!$B$43*AT100)</f>
        <v>#VALUE!</v>
      </c>
      <c r="AW100" s="290" t="e">
        <f>($D100-Stoff!$P100*$D100-AU100)*($F100/($F100+Stoff!$L100*365))</f>
        <v>#VALUE!</v>
      </c>
      <c r="AX100" s="290" t="e">
        <f>(Stoff!$P100*$D100)-AV100</f>
        <v>#VALUE!</v>
      </c>
      <c r="AY100" s="290" t="e">
        <f>($O100+AW100)*EXP(-($N100+Stoff!$M100*365)*AT100)</f>
        <v>#VALUE!</v>
      </c>
      <c r="AZ100" s="290" t="e">
        <f>(Stoff!$P100*$O100+AX100)*EXP(-('1a. Spredningsmodell input'!$B$46)*AT100)</f>
        <v>#VALUE!</v>
      </c>
      <c r="BA100" s="292" t="e">
        <f>((AY100+AZ100)*1000000000)/('1a. Spredningsmodell input'!$B$45*1000)</f>
        <v>#VALUE!</v>
      </c>
      <c r="BB100" s="294" t="e">
        <f>0.001*BA100/('1a. Spredningsmodell input'!$C$25+'1a. Spredningsmodell input'!$C$26/Mellomregninger!$K100)</f>
        <v>#VALUE!</v>
      </c>
      <c r="BC100" s="294" t="e">
        <f>1000*BB100/$K100+AZ100*1000000000/('1a. Spredningsmodell input'!$B$45*1000)</f>
        <v>#VALUE!</v>
      </c>
      <c r="BD100" s="294" t="e">
        <f t="shared" si="38"/>
        <v>#VALUE!</v>
      </c>
      <c r="BE100" s="294" t="e">
        <f>AZ100*1000000000/('1a. Spredningsmodell input'!$B$45*1000)</f>
        <v>#VALUE!</v>
      </c>
      <c r="BF100" s="295">
        <f t="shared" ref="BF100:BF114" si="61">BF99</f>
        <v>20</v>
      </c>
      <c r="BG100" s="290" t="e">
        <f>($D100-Stoff!$P100*$D100)*EXP(-($F100+Stoff!$L100*365)*BF100)</f>
        <v>#VALUE!</v>
      </c>
      <c r="BH100" s="291" t="e">
        <f>(Stoff!$P100*$D100)*EXP(-'1a. Spredningsmodell input'!$B$43*BF100)</f>
        <v>#VALUE!</v>
      </c>
      <c r="BI100" s="290" t="e">
        <f>($D100-Stoff!$P100*$D100-BG100)*($F100/($F100+Stoff!$L100*365))</f>
        <v>#VALUE!</v>
      </c>
      <c r="BJ100" s="290" t="e">
        <f>(Stoff!$P100*$D100)-BH100</f>
        <v>#VALUE!</v>
      </c>
      <c r="BK100" s="290" t="e">
        <f>($O100+BI100)*EXP(-($N100+Stoff!$M100*365)*BF100)</f>
        <v>#VALUE!</v>
      </c>
      <c r="BL100" s="290" t="e">
        <f>(Stoff!$P100*$O100+BJ100)*EXP(-('1a. Spredningsmodell input'!$B$46)*BF100)</f>
        <v>#VALUE!</v>
      </c>
      <c r="BM100" s="292" t="e">
        <f>((BK100+BL100)*1000000000)/('1a. Spredningsmodell input'!$B$45*1000)</f>
        <v>#VALUE!</v>
      </c>
      <c r="BN100" s="294" t="e">
        <f>0.001*BM100/('1a. Spredningsmodell input'!$C$25+'1a. Spredningsmodell input'!$C$26/Mellomregninger!$K100)</f>
        <v>#VALUE!</v>
      </c>
      <c r="BO100" s="294" t="e">
        <f>1000*BN100/$K100+BL100*1000000000/('1a. Spredningsmodell input'!$B$45*1000)</f>
        <v>#VALUE!</v>
      </c>
      <c r="BP100" s="294" t="e">
        <f t="shared" si="40"/>
        <v>#VALUE!</v>
      </c>
      <c r="BQ100" s="294" t="e">
        <f>BL100*1000000000/('1a. Spredningsmodell input'!$B$45*1000)</f>
        <v>#VALUE!</v>
      </c>
      <c r="BR100" s="295">
        <f t="shared" ref="BR100:BR114" si="62">BR99</f>
        <v>100</v>
      </c>
      <c r="BS100" s="290" t="e">
        <f>($D100-Stoff!$P100*$D100)*EXP(-($F100+Stoff!$L100*365)*BR100)</f>
        <v>#VALUE!</v>
      </c>
      <c r="BT100" s="291" t="e">
        <f>(Stoff!$P100*$D100)*EXP(-'1a. Spredningsmodell input'!$B$43*BR100)</f>
        <v>#VALUE!</v>
      </c>
      <c r="BU100" s="290" t="e">
        <f>($D100-Stoff!$P100*$D100-BS100)*($F100/($F100+Stoff!$L100*365))</f>
        <v>#VALUE!</v>
      </c>
      <c r="BV100" s="290" t="e">
        <f>(Stoff!$P100*$D100)-BT100</f>
        <v>#VALUE!</v>
      </c>
      <c r="BW100" s="290" t="e">
        <f>($O100+BU100)*EXP(-($N100+Stoff!$M100*365)*BR100)</f>
        <v>#VALUE!</v>
      </c>
      <c r="BX100" s="290" t="e">
        <f>(Stoff!$P100*$O100+BV100)*EXP(-('1a. Spredningsmodell input'!$B$46)*BR100)</f>
        <v>#VALUE!</v>
      </c>
      <c r="BY100" s="292" t="e">
        <f>((BW100+BX100)*1000000000)/('1a. Spredningsmodell input'!$B$45*1000)</f>
        <v>#VALUE!</v>
      </c>
      <c r="BZ100" s="294" t="e">
        <f>0.001*BY100/('1a. Spredningsmodell input'!$C$25+'1a. Spredningsmodell input'!$C$26/Mellomregninger!$K100)</f>
        <v>#VALUE!</v>
      </c>
      <c r="CA100" s="294" t="e">
        <f>1000*BZ100/$K100+BX100*1000000000/('1a. Spredningsmodell input'!$B$45*1000)</f>
        <v>#VALUE!</v>
      </c>
      <c r="CB100" s="294" t="e">
        <f t="shared" si="42"/>
        <v>#VALUE!</v>
      </c>
      <c r="CC100" s="294" t="e">
        <f>BX100*1000000000/('1a. Spredningsmodell input'!$B$45*1000)</f>
        <v>#VALUE!</v>
      </c>
      <c r="CD100" s="294" t="e">
        <f>V100+'1a. Spredningsmodell input'!$C$35</f>
        <v>#VALUE!</v>
      </c>
      <c r="CE100" s="294" t="e">
        <f>($S100+$Q100*($O100+$I100*($D100*(1-Stoff!$P100))*(1-EXP(-($F100+Stoff!$L100*365)*CD100)))*(1-EXP(-($N100+Stoff!$M100*365)*CD100)))</f>
        <v>#VALUE!</v>
      </c>
      <c r="CF100" s="294" t="e">
        <f t="shared" si="43"/>
        <v>#VALUE!</v>
      </c>
      <c r="CG100" s="296" t="e">
        <f>(CF100/1000000)*'1a. Spredningsmodell input'!$B$49*'1a. Spredningsmodell input'!$C$35</f>
        <v>#VALUE!</v>
      </c>
      <c r="CH100" s="294" t="e">
        <f t="shared" si="44"/>
        <v>#VALUE!</v>
      </c>
      <c r="CI100" s="290" t="e">
        <f>(CH100/1000000)*'1a. Spredningsmodell input'!$B$49*'1a. Spredningsmodell input'!$C$35</f>
        <v>#VALUE!</v>
      </c>
      <c r="CJ100" s="297" t="e">
        <f>($S100)*EXP(-(Stoff!$N100*365+$U100)*CD100)+CG100</f>
        <v>#VALUE!</v>
      </c>
      <c r="CK100" s="297" t="e">
        <f>(Stoff!$P100*$S100+CI100)*EXP(-$T100*CD100)</f>
        <v>#VALUE!</v>
      </c>
      <c r="CL100" s="297" t="e">
        <f>(CJ100+CK100)*1000000000/('1a. Spredningsmodell input'!$C$36*1000)</f>
        <v>#VALUE!</v>
      </c>
      <c r="CM100" s="297" t="e">
        <f>$G100*(1-EXP(-'1a. Spredningsmodell input'!$B$43*Mellomregninger!CD100))*(1-EXP(-'1a. Spredningsmodell input'!$B$46*Mellomregninger!CD100))</f>
        <v>#VALUE!</v>
      </c>
      <c r="CN100" s="297"/>
      <c r="CO100" s="297"/>
      <c r="CP100" s="290">
        <f>IF(ISNUMBER(AH100),AH100+'1a. Spredningsmodell input'!$C$35,'1a. Spredningsmodell input'!$C$35)</f>
        <v>1</v>
      </c>
      <c r="CQ100" s="294" t="e">
        <f>($S100+$Q100*($O100+$I100*($D100*(1-Stoff!$P100))*(1-EXP(-($F100+Stoff!$L100*365)*CP100)))*(1-EXP(-($N100+Stoff!$M100*365)*CP100)))</f>
        <v>#VALUE!</v>
      </c>
      <c r="CR100" s="294" t="e">
        <f t="shared" si="45"/>
        <v>#VALUE!</v>
      </c>
      <c r="CS100" s="296" t="e">
        <f>(CR100/1000000)*('1a. Spredningsmodell input'!$B$49*'1a. Spredningsmodell input'!$C$35)</f>
        <v>#VALUE!</v>
      </c>
      <c r="CT100" s="294" t="e">
        <f t="shared" si="46"/>
        <v>#VALUE!</v>
      </c>
      <c r="CU100" s="290" t="e">
        <f>(CT100/1000000)*('1a. Spredningsmodell input'!$B$49)*'1a. Spredningsmodell input'!$C$35</f>
        <v>#VALUE!</v>
      </c>
      <c r="CV100" s="297" t="e">
        <f>($S100)*EXP(-(Stoff!$N100*365+$U100)*CP100)+CS100</f>
        <v>#VALUE!</v>
      </c>
      <c r="CW100" s="297" t="e">
        <f>(Stoff!$P100*$S100+CU100)*EXP(-$T100*CP100)</f>
        <v>#VALUE!</v>
      </c>
      <c r="CX100" s="297">
        <f>IF(ISERROR(CV100),0,(CV100+CW100)*1000000000/('1a. Spredningsmodell input'!$C$36*1000))</f>
        <v>0</v>
      </c>
      <c r="CY100" s="297" t="e">
        <f>$G100*(1-EXP(-'1a. Spredningsmodell input'!$B$43*Mellomregninger!CP100))*(1-EXP(-'1a. Spredningsmodell input'!$B$46*Mellomregninger!CP100))</f>
        <v>#VALUE!</v>
      </c>
      <c r="CZ100" s="297"/>
      <c r="DA100" s="297"/>
      <c r="DB100" s="262">
        <f t="shared" ref="DB100:DB114" si="63">DB99</f>
        <v>5</v>
      </c>
      <c r="DC100" s="298" t="e">
        <f>($S100+$Q100*($O100+$I100*($D100*(1-Stoff!$P100))*(1-EXP(-($F100+Stoff!$L100*365)*DB100)))*(1-EXP(-($N100+Stoff!$M100*365)*DB100)))</f>
        <v>#VALUE!</v>
      </c>
      <c r="DD100" s="294" t="e">
        <f t="shared" si="48"/>
        <v>#VALUE!</v>
      </c>
      <c r="DE100" s="296" t="e">
        <f>(DD100/1000000)*('1a. Spredningsmodell input'!$B$49)*'1a. Spredningsmodell input'!$C$35</f>
        <v>#VALUE!</v>
      </c>
      <c r="DF100" s="294" t="e">
        <f t="shared" si="49"/>
        <v>#VALUE!</v>
      </c>
      <c r="DG100" s="290" t="e">
        <f>(DF100/1000000)*('1a. Spredningsmodell input'!$B$49)*'1a. Spredningsmodell input'!$C$35</f>
        <v>#VALUE!</v>
      </c>
      <c r="DH100" s="297" t="e">
        <f>($S100)*EXP(-(Stoff!$N100*365+$U100)*DB100)+DE100</f>
        <v>#VALUE!</v>
      </c>
      <c r="DI100" s="297" t="e">
        <f>(Stoff!$P100*$S100+DG100)*EXP(-$T100*DB100)</f>
        <v>#VALUE!</v>
      </c>
      <c r="DJ100" s="297" t="e">
        <f>(DH100+DI100)*1000000000/('1a. Spredningsmodell input'!$C$36*1000)</f>
        <v>#VALUE!</v>
      </c>
      <c r="DK100" s="297" t="e">
        <f>$G100*(1-EXP(-'1a. Spredningsmodell input'!$B$43*Mellomregninger!DB100))*(1-EXP(-'1a. Spredningsmodell input'!$B$46*Mellomregninger!DB100))</f>
        <v>#VALUE!</v>
      </c>
      <c r="DL100" s="297"/>
      <c r="DM100" s="297"/>
      <c r="DN100" s="262">
        <f t="shared" ref="DN100:DN114" si="64">DN99</f>
        <v>20</v>
      </c>
      <c r="DO100" s="298" t="e">
        <f>($S100+$Q100*($O100+$I100*($D100*(1-Stoff!$P100))*(1-EXP(-($F100+Stoff!$L100*365)*DN100)))*(1-EXP(-($N100+Stoff!$M100*365)*DN100)))</f>
        <v>#VALUE!</v>
      </c>
      <c r="DP100" s="294" t="e">
        <f t="shared" si="51"/>
        <v>#VALUE!</v>
      </c>
      <c r="DQ100" s="296" t="e">
        <f>(DP100/1000000)*('1a. Spredningsmodell input'!$B$49)*'1a. Spredningsmodell input'!$C$35</f>
        <v>#VALUE!</v>
      </c>
      <c r="DR100" s="294" t="e">
        <f t="shared" si="52"/>
        <v>#VALUE!</v>
      </c>
      <c r="DS100" s="290" t="e">
        <f>(DR100/1000000)*('1a. Spredningsmodell input'!$B$49)*'1a. Spredningsmodell input'!$C$35</f>
        <v>#VALUE!</v>
      </c>
      <c r="DT100" s="297" t="e">
        <f>($S100)*EXP(-(Stoff!$N100*365+$U100)*DN100)+DQ100</f>
        <v>#VALUE!</v>
      </c>
      <c r="DU100" s="297" t="e">
        <f>(Stoff!$P100*$S100+DS100)*EXP(-$T100*DN100)</f>
        <v>#VALUE!</v>
      </c>
      <c r="DV100" s="297" t="e">
        <f>(DT100+DU100)*1000000000/('1a. Spredningsmodell input'!$C$36*1000)</f>
        <v>#VALUE!</v>
      </c>
      <c r="DW100" s="297" t="e">
        <f>$G100*(1-EXP(-'1a. Spredningsmodell input'!$B$43*Mellomregninger!DN100))*(1-EXP(-'1a. Spredningsmodell input'!$B$46*Mellomregninger!DN100))</f>
        <v>#VALUE!</v>
      </c>
      <c r="DX100" s="297"/>
      <c r="DY100" s="297"/>
      <c r="DZ100" s="262">
        <f t="shared" ref="DZ100:DZ114" si="65">DZ99</f>
        <v>100</v>
      </c>
      <c r="EA100" s="298" t="e">
        <f>($S100+$Q100*($O100+$I100*($D100*(1-Stoff!$P100))*(1-EXP(-($F100+Stoff!$L100*365)*DZ100)))*(1-EXP(-($N100+Stoff!$M100*365)*DZ100)))</f>
        <v>#VALUE!</v>
      </c>
      <c r="EB100" s="294" t="e">
        <f t="shared" si="54"/>
        <v>#VALUE!</v>
      </c>
      <c r="EC100" s="296" t="e">
        <f>(EB100/1000000)*('1a. Spredningsmodell input'!$B$49)*'1a. Spredningsmodell input'!$C$35</f>
        <v>#VALUE!</v>
      </c>
      <c r="ED100" s="294" t="e">
        <f t="shared" si="55"/>
        <v>#VALUE!</v>
      </c>
      <c r="EE100" s="290" t="e">
        <f>(ED100/1000000)*('1a. Spredningsmodell input'!$B$49)*'1a. Spredningsmodell input'!$C$35</f>
        <v>#VALUE!</v>
      </c>
      <c r="EF100" s="297" t="e">
        <f>($S100)*EXP(-(Stoff!$N100*365+$U100)*DZ100)+EC100</f>
        <v>#VALUE!</v>
      </c>
      <c r="EG100" s="297" t="e">
        <f>(Stoff!$P100*$S100+EE100)*EXP(-$T100*DZ100)</f>
        <v>#VALUE!</v>
      </c>
      <c r="EH100" s="297" t="e">
        <f>(EF100+EG100)*1000000000/('1a. Spredningsmodell input'!$C$36*1000)</f>
        <v>#VALUE!</v>
      </c>
      <c r="EI100" s="297" t="e">
        <f>$G100*(1-EXP(-'1a. Spredningsmodell input'!$B$43*Mellomregninger!DZ100))*(1-EXP(-'1a. Spredningsmodell input'!$B$46*Mellomregninger!DZ100))</f>
        <v>#VALUE!</v>
      </c>
      <c r="EJ100" s="297"/>
      <c r="EK100" s="297"/>
      <c r="EL100" s="262">
        <f t="shared" ref="EL100:EL114" si="66">EL99</f>
        <v>1.0000000000000001E+25</v>
      </c>
      <c r="EM100" s="294" t="e">
        <f>($S100+$Q100*($O100+$I100*($D100*(1-Stoff!$P100))*(1-EXP(-($F100+Stoff!$L100*365)*EL100)))*(1-EXP(-($N100+Stoff!$M100*365)*EL100)))</f>
        <v>#VALUE!</v>
      </c>
      <c r="EN100" s="296" t="e">
        <f>($S100+$Q100*($O100+$I100*($D100*(1-Stoff!$P100))*(1-EXP(-($F100+Stoff!$L100*365)*(EL100-'1a. Spredningsmodell input'!$C$35))))*(1-EXP(-($N100+Stoff!$M100*365)*(EL100-'1a. Spredningsmodell input'!$C$35))))</f>
        <v>#VALUE!</v>
      </c>
      <c r="EO100" s="294" t="e">
        <f>IF(EL100&lt;'1a. Spredningsmodell input'!$C$35,EM100-($S100)*EXP(-(Stoff!$N100*365+$U100)*EL100),EM100-EN100)</f>
        <v>#VALUE!</v>
      </c>
      <c r="EP100" s="290" t="e">
        <f>((($D100*(Stoff!$P100))*(1-EXP(-'1a. Spredningsmodell input'!$B$43*EL100)))*(1-EXP(-'1a. Spredningsmodell input'!$B$46*EL100)))</f>
        <v>#VALUE!</v>
      </c>
      <c r="EQ100" s="294" t="e">
        <f>((($D100*(Stoff!$P100))*(1-EXP(-'1a. Spredningsmodell input'!$B$43*(EL100-'1a. Spredningsmodell input'!$C$35))))*(1-EXP(-'1a. Spredningsmodell input'!$B$46*(EL100-'1a. Spredningsmodell input'!$C$35))))</f>
        <v>#VALUE!</v>
      </c>
      <c r="ER100" s="290" t="e">
        <f>IF(EL100&lt;'1a. Spredningsmodell input'!$C$35,0,EP100-EQ100)</f>
        <v>#VALUE!</v>
      </c>
      <c r="ES100" s="297" t="e">
        <f>($S100)*EXP(-(Stoff!$N100*365+$U100)*EL100)+EO100</f>
        <v>#VALUE!</v>
      </c>
      <c r="ET100" s="297" t="e">
        <f>(Stoff!$P100*$S100+ER100)*EXP(-$T100*EL100)</f>
        <v>#VALUE!</v>
      </c>
      <c r="EU100" s="297" t="e">
        <f>(ES100+ET100)*1000000000/('1a. Spredningsmodell input'!$C$36*1000)</f>
        <v>#VALUE!</v>
      </c>
      <c r="EV100" s="262" t="e">
        <f t="shared" ref="EV100:EV114" si="67">MAXA(CL100,CX100)</f>
        <v>#VALUE!</v>
      </c>
      <c r="EW100" s="299" t="e">
        <f t="shared" ref="EW100:EW114" si="68">IF(CL100=EV100,CD100,CP100)</f>
        <v>#VALUE!</v>
      </c>
      <c r="EX100" s="262" t="e">
        <f t="shared" si="59"/>
        <v>#VALUE!</v>
      </c>
    </row>
    <row r="101" spans="1:154" x14ac:dyDescent="0.35">
      <c r="A101" s="301" t="str">
        <f>Stoff!A101</f>
        <v>nystoff 15</v>
      </c>
      <c r="B101" s="34" t="str">
        <f>IF(ISNUMBER('1c. Kons. porevann'!E101),1000*'1c. Kons. porevann'!E101,IF(ISNUMBER('1b. Kons. umettet jord'!E101),1000*'1b. Kons. umettet jord'!E101/C101,""))</f>
        <v/>
      </c>
      <c r="C101" s="244">
        <f>IF(Stoff!B101="uorganisk",Stoff!C101,Stoff!D101*'1a. Spredningsmodell input'!$C$11)</f>
        <v>0</v>
      </c>
      <c r="D101" s="34" t="str">
        <f>IF(ISNUMBER(B101),0.000001*('1b. Kons. umettet jord'!G101*'1a. Spredningsmodell input'!$C$12+B101*0.001*'1a. Spredningsmodell input'!$C$14)*1000*'1a. Spredningsmodell input'!$B$41*'1a. Spredningsmodell input'!$C$18,"")</f>
        <v/>
      </c>
      <c r="E101" s="283">
        <f>C101*'1a. Spredningsmodell input'!$C$12/'1a. Spredningsmodell input'!$C$14+1</f>
        <v>1</v>
      </c>
      <c r="F101" s="284">
        <f>'1a. Spredningsmodell input'!$B$43/E101</f>
        <v>1.4999999999999998</v>
      </c>
      <c r="G101" s="34" t="e">
        <f>Stoff!P101*Mellomregninger!D101</f>
        <v>#VALUE!</v>
      </c>
      <c r="H101" s="283" t="e">
        <f>(D101-G101)*(F101/(F101+Stoff!L101))</f>
        <v>#VALUE!</v>
      </c>
      <c r="I101" s="283">
        <f>F101/(F101+Stoff!L101)</f>
        <v>1</v>
      </c>
      <c r="J101" s="285" t="str">
        <f>IF(B101="","",IF(ISNUMBER('1d. Kons. mettet sone'!E101),'1d. Kons. mettet sone'!E101,IF(ISNUMBER('1e. Kons. grunnvann'!E101),'1e. Kons. grunnvann'!E101*Mellomregninger!K101,0)))</f>
        <v/>
      </c>
      <c r="K101" s="286">
        <f>IF(Stoff!B101="uorganisk",Stoff!C101,Stoff!D101*'1a. Spredningsmodell input'!$C$24)</f>
        <v>0</v>
      </c>
      <c r="L101" s="27" t="e">
        <f>IF(ISNUMBER('1e. Kons. grunnvann'!E101),1000*'1e. Kons. grunnvann'!E101,1000*J101/K101)</f>
        <v>#VALUE!</v>
      </c>
      <c r="M101" s="34">
        <f>K101*'1a. Spredningsmodell input'!$C$25/'1a. Spredningsmodell input'!$C$26+1</f>
        <v>1</v>
      </c>
      <c r="N101" s="284">
        <f>'1a. Spredningsmodell input'!$C$26/M101</f>
        <v>0.4</v>
      </c>
      <c r="O101" s="287" t="e">
        <f>0.000000001*(J101*'1a. Spredningsmodell input'!$C$25+L101)*1000*'1a. Spredningsmodell input'!$B$45</f>
        <v>#VALUE!</v>
      </c>
      <c r="P101" s="287" t="e">
        <f>O101*Stoff!P101</f>
        <v>#VALUE!</v>
      </c>
      <c r="Q101" s="287">
        <f>N101/(N101+Stoff!M101)</f>
        <v>1</v>
      </c>
      <c r="R101" s="288">
        <f>IF(ISNUMBER('1f. Kons. resipient'!E101),'1f. Kons. resipient'!E101,0)</f>
        <v>0</v>
      </c>
      <c r="S101" s="288">
        <f>0.000000001*'1a. Spredningsmodell input'!$C$36*R101*1000</f>
        <v>0</v>
      </c>
      <c r="T101" s="288">
        <f>1/'1a. Spredningsmodell input'!$C$35</f>
        <v>1</v>
      </c>
      <c r="U101" s="288">
        <f>1/'1a. Spredningsmodell input'!$C$35</f>
        <v>1</v>
      </c>
      <c r="V101" s="300" t="e">
        <f>(1/($N101+Stoff!$L101))*(LN(($D101*$I101/($D101*$I101+$J101))*($F101+Stoff!$L101+$N101+Stoff!$M101)/($N101+Stoff!$M101)))</f>
        <v>#VALUE!</v>
      </c>
      <c r="W101" s="290" t="e">
        <f>($D101-Stoff!$P101*$D101)*EXP(-($F101+Stoff!$L101*365)*V101)</f>
        <v>#VALUE!</v>
      </c>
      <c r="X101" s="291" t="e">
        <f>(Stoff!$P101*$D101)*EXP(-'1a. Spredningsmodell input'!$B$43*V101)</f>
        <v>#VALUE!</v>
      </c>
      <c r="Y101" s="290" t="e">
        <f>($D101-Stoff!$P101*$D101-W101)*($F101/($F101+Stoff!$L101*365))</f>
        <v>#VALUE!</v>
      </c>
      <c r="Z101" s="290" t="e">
        <f>(Stoff!$P101*$D101)-X101</f>
        <v>#VALUE!</v>
      </c>
      <c r="AA101" s="290" t="e">
        <f>($O101+Y101)*EXP(-($N101+Stoff!$M101*365)*V101)</f>
        <v>#VALUE!</v>
      </c>
      <c r="AB101" s="290" t="e">
        <f>(Stoff!$P101*$O101+Z101)*EXP(-('1a. Spredningsmodell input'!$B$46)*V101)</f>
        <v>#VALUE!</v>
      </c>
      <c r="AC101" s="292" t="e">
        <f>((AA101+AB101)*1000000000)/('1a. Spredningsmodell input'!$B$45*1000)</f>
        <v>#VALUE!</v>
      </c>
      <c r="AD101" s="294" t="e">
        <f>0.001*AC101/('1a. Spredningsmodell input'!$C$25+'1a. Spredningsmodell input'!$C$26/Mellomregninger!$K101)</f>
        <v>#VALUE!</v>
      </c>
      <c r="AE101" s="294" t="e">
        <f>1000*AD101/$K101+AB101*1000000000/('1a. Spredningsmodell input'!$B$45*1000)</f>
        <v>#VALUE!</v>
      </c>
      <c r="AF101" s="294" t="e">
        <f t="shared" si="35"/>
        <v>#VALUE!</v>
      </c>
      <c r="AG101" s="294" t="e">
        <f>AB101*1000000000/('1a. Spredningsmodell input'!$B$45*1000)</f>
        <v>#VALUE!</v>
      </c>
      <c r="AH101" s="300" t="e">
        <f>(1/('1a. Spredningsmodell input'!$B$46))*(LN(($D101*Stoff!$P101/($D101*Stoff!$P101+$P101*Stoff!$P101))*('1a. Spredningsmodell input'!$B$43+'1a. Spredningsmodell input'!$B$46)/('1a. Spredningsmodell input'!$B$46)))</f>
        <v>#VALUE!</v>
      </c>
      <c r="AI101" s="290" t="e">
        <f>($D101-Stoff!$P101*$D101)*EXP(-($F101+Stoff!$L101*365)*AH101)</f>
        <v>#VALUE!</v>
      </c>
      <c r="AJ101" s="291" t="e">
        <f>(Stoff!$P101*$D101)*EXP(-'1a. Spredningsmodell input'!$B$43*AH101)</f>
        <v>#VALUE!</v>
      </c>
      <c r="AK101" s="290" t="e">
        <f>($D101-Stoff!$P101*$D101-AI101)*($F101/($F101+Stoff!$L101*365))</f>
        <v>#VALUE!</v>
      </c>
      <c r="AL101" s="290" t="e">
        <f>(Stoff!$P101*$D101)-AJ101</f>
        <v>#VALUE!</v>
      </c>
      <c r="AM101" s="290" t="e">
        <f>($O101+AK101)*EXP(-($N101+Stoff!$M101*365)*AH101)</f>
        <v>#VALUE!</v>
      </c>
      <c r="AN101" s="290" t="e">
        <f>(Stoff!$P101*$O101+AL101)*EXP(-('1a. Spredningsmodell input'!$B$46)*AH101)</f>
        <v>#VALUE!</v>
      </c>
      <c r="AO101" s="292" t="e">
        <f>((AM101+AN101)*1000000000)/('1a. Spredningsmodell input'!$B$45*1000)</f>
        <v>#VALUE!</v>
      </c>
      <c r="AP101" s="294" t="e">
        <f>0.001*AO101/('1a. Spredningsmodell input'!$C$25+'1a. Spredningsmodell input'!$C$26/Mellomregninger!$K101)</f>
        <v>#VALUE!</v>
      </c>
      <c r="AQ101" s="294" t="e">
        <f>1000*AP101/$K101+AN101*1000000000/('1a. Spredningsmodell input'!$B$45*1000)</f>
        <v>#VALUE!</v>
      </c>
      <c r="AR101" s="294" t="e">
        <f t="shared" si="36"/>
        <v>#VALUE!</v>
      </c>
      <c r="AS101" s="294" t="e">
        <f>AN101*1000000000/('1a. Spredningsmodell input'!$B$45*1000)</f>
        <v>#VALUE!</v>
      </c>
      <c r="AT101" s="295">
        <f t="shared" si="60"/>
        <v>5</v>
      </c>
      <c r="AU101" s="290" t="e">
        <f>($D101-Stoff!$P101*$D101)*EXP(-($F101+Stoff!$L101*365)*AT101)</f>
        <v>#VALUE!</v>
      </c>
      <c r="AV101" s="291" t="e">
        <f>(Stoff!$P101*$D101)*EXP(-'1a. Spredningsmodell input'!$B$43*AT101)</f>
        <v>#VALUE!</v>
      </c>
      <c r="AW101" s="290" t="e">
        <f>($D101-Stoff!$P101*$D101-AU101)*($F101/($F101+Stoff!$L101*365))</f>
        <v>#VALUE!</v>
      </c>
      <c r="AX101" s="290" t="e">
        <f>(Stoff!$P101*$D101)-AV101</f>
        <v>#VALUE!</v>
      </c>
      <c r="AY101" s="290" t="e">
        <f>($O101+AW101)*EXP(-($N101+Stoff!$M101*365)*AT101)</f>
        <v>#VALUE!</v>
      </c>
      <c r="AZ101" s="290" t="e">
        <f>(Stoff!$P101*$O101+AX101)*EXP(-('1a. Spredningsmodell input'!$B$46)*AT101)</f>
        <v>#VALUE!</v>
      </c>
      <c r="BA101" s="292" t="e">
        <f>((AY101+AZ101)*1000000000)/('1a. Spredningsmodell input'!$B$45*1000)</f>
        <v>#VALUE!</v>
      </c>
      <c r="BB101" s="294" t="e">
        <f>0.001*BA101/('1a. Spredningsmodell input'!$C$25+'1a. Spredningsmodell input'!$C$26/Mellomregninger!$K101)</f>
        <v>#VALUE!</v>
      </c>
      <c r="BC101" s="294" t="e">
        <f>1000*BB101/$K101+AZ101*1000000000/('1a. Spredningsmodell input'!$B$45*1000)</f>
        <v>#VALUE!</v>
      </c>
      <c r="BD101" s="294" t="e">
        <f t="shared" si="38"/>
        <v>#VALUE!</v>
      </c>
      <c r="BE101" s="294" t="e">
        <f>AZ101*1000000000/('1a. Spredningsmodell input'!$B$45*1000)</f>
        <v>#VALUE!</v>
      </c>
      <c r="BF101" s="295">
        <f t="shared" si="61"/>
        <v>20</v>
      </c>
      <c r="BG101" s="290" t="e">
        <f>($D101-Stoff!$P101*$D101)*EXP(-($F101+Stoff!$L101*365)*BF101)</f>
        <v>#VALUE!</v>
      </c>
      <c r="BH101" s="291" t="e">
        <f>(Stoff!$P101*$D101)*EXP(-'1a. Spredningsmodell input'!$B$43*BF101)</f>
        <v>#VALUE!</v>
      </c>
      <c r="BI101" s="290" t="e">
        <f>($D101-Stoff!$P101*$D101-BG101)*($F101/($F101+Stoff!$L101*365))</f>
        <v>#VALUE!</v>
      </c>
      <c r="BJ101" s="290" t="e">
        <f>(Stoff!$P101*$D101)-BH101</f>
        <v>#VALUE!</v>
      </c>
      <c r="BK101" s="290" t="e">
        <f>($O101+BI101)*EXP(-($N101+Stoff!$M101*365)*BF101)</f>
        <v>#VALUE!</v>
      </c>
      <c r="BL101" s="290" t="e">
        <f>(Stoff!$P101*$O101+BJ101)*EXP(-('1a. Spredningsmodell input'!$B$46)*BF101)</f>
        <v>#VALUE!</v>
      </c>
      <c r="BM101" s="292" t="e">
        <f>((BK101+BL101)*1000000000)/('1a. Spredningsmodell input'!$B$45*1000)</f>
        <v>#VALUE!</v>
      </c>
      <c r="BN101" s="294" t="e">
        <f>0.001*BM101/('1a. Spredningsmodell input'!$C$25+'1a. Spredningsmodell input'!$C$26/Mellomregninger!$K101)</f>
        <v>#VALUE!</v>
      </c>
      <c r="BO101" s="294" t="e">
        <f>1000*BN101/$K101+BL101*1000000000/('1a. Spredningsmodell input'!$B$45*1000)</f>
        <v>#VALUE!</v>
      </c>
      <c r="BP101" s="294" t="e">
        <f t="shared" si="40"/>
        <v>#VALUE!</v>
      </c>
      <c r="BQ101" s="294" t="e">
        <f>BL101*1000000000/('1a. Spredningsmodell input'!$B$45*1000)</f>
        <v>#VALUE!</v>
      </c>
      <c r="BR101" s="295">
        <f t="shared" si="62"/>
        <v>100</v>
      </c>
      <c r="BS101" s="290" t="e">
        <f>($D101-Stoff!$P101*$D101)*EXP(-($F101+Stoff!$L101*365)*BR101)</f>
        <v>#VALUE!</v>
      </c>
      <c r="BT101" s="291" t="e">
        <f>(Stoff!$P101*$D101)*EXP(-'1a. Spredningsmodell input'!$B$43*BR101)</f>
        <v>#VALUE!</v>
      </c>
      <c r="BU101" s="290" t="e">
        <f>($D101-Stoff!$P101*$D101-BS101)*($F101/($F101+Stoff!$L101*365))</f>
        <v>#VALUE!</v>
      </c>
      <c r="BV101" s="290" t="e">
        <f>(Stoff!$P101*$D101)-BT101</f>
        <v>#VALUE!</v>
      </c>
      <c r="BW101" s="290" t="e">
        <f>($O101+BU101)*EXP(-($N101+Stoff!$M101*365)*BR101)</f>
        <v>#VALUE!</v>
      </c>
      <c r="BX101" s="290" t="e">
        <f>(Stoff!$P101*$O101+BV101)*EXP(-('1a. Spredningsmodell input'!$B$46)*BR101)</f>
        <v>#VALUE!</v>
      </c>
      <c r="BY101" s="292" t="e">
        <f>((BW101+BX101)*1000000000)/('1a. Spredningsmodell input'!$B$45*1000)</f>
        <v>#VALUE!</v>
      </c>
      <c r="BZ101" s="294" t="e">
        <f>0.001*BY101/('1a. Spredningsmodell input'!$C$25+'1a. Spredningsmodell input'!$C$26/Mellomregninger!$K101)</f>
        <v>#VALUE!</v>
      </c>
      <c r="CA101" s="294" t="e">
        <f>1000*BZ101/$K101+BX101*1000000000/('1a. Spredningsmodell input'!$B$45*1000)</f>
        <v>#VALUE!</v>
      </c>
      <c r="CB101" s="294" t="e">
        <f t="shared" si="42"/>
        <v>#VALUE!</v>
      </c>
      <c r="CC101" s="294" t="e">
        <f>BX101*1000000000/('1a. Spredningsmodell input'!$B$45*1000)</f>
        <v>#VALUE!</v>
      </c>
      <c r="CD101" s="294" t="e">
        <f>V101+'1a. Spredningsmodell input'!$C$35</f>
        <v>#VALUE!</v>
      </c>
      <c r="CE101" s="294" t="e">
        <f>($S101+$Q101*($O101+$I101*($D101*(1-Stoff!$P101))*(1-EXP(-($F101+Stoff!$L101*365)*CD101)))*(1-EXP(-($N101+Stoff!$M101*365)*CD101)))</f>
        <v>#VALUE!</v>
      </c>
      <c r="CF101" s="294" t="e">
        <f t="shared" si="43"/>
        <v>#VALUE!</v>
      </c>
      <c r="CG101" s="296" t="e">
        <f>(CF101/1000000)*'1a. Spredningsmodell input'!$B$49*'1a. Spredningsmodell input'!$C$35</f>
        <v>#VALUE!</v>
      </c>
      <c r="CH101" s="294" t="e">
        <f t="shared" si="44"/>
        <v>#VALUE!</v>
      </c>
      <c r="CI101" s="290" t="e">
        <f>(CH101/1000000)*'1a. Spredningsmodell input'!$B$49*'1a. Spredningsmodell input'!$C$35</f>
        <v>#VALUE!</v>
      </c>
      <c r="CJ101" s="297" t="e">
        <f>($S101)*EXP(-(Stoff!$N101*365+$U101)*CD101)+CG101</f>
        <v>#VALUE!</v>
      </c>
      <c r="CK101" s="297" t="e">
        <f>(Stoff!$P101*$S101+CI101)*EXP(-$T101*CD101)</f>
        <v>#VALUE!</v>
      </c>
      <c r="CL101" s="297" t="e">
        <f>(CJ101+CK101)*1000000000/('1a. Spredningsmodell input'!$C$36*1000)</f>
        <v>#VALUE!</v>
      </c>
      <c r="CM101" s="297" t="e">
        <f>$G101*(1-EXP(-'1a. Spredningsmodell input'!$B$43*Mellomregninger!CD101))*(1-EXP(-'1a. Spredningsmodell input'!$B$46*Mellomregninger!CD101))</f>
        <v>#VALUE!</v>
      </c>
      <c r="CN101" s="297"/>
      <c r="CO101" s="297"/>
      <c r="CP101" s="290">
        <f>IF(ISNUMBER(AH101),AH101+'1a. Spredningsmodell input'!$C$35,'1a. Spredningsmodell input'!$C$35)</f>
        <v>1</v>
      </c>
      <c r="CQ101" s="294" t="e">
        <f>($S101+$Q101*($O101+$I101*($D101*(1-Stoff!$P101))*(1-EXP(-($F101+Stoff!$L101*365)*CP101)))*(1-EXP(-($N101+Stoff!$M101*365)*CP101)))</f>
        <v>#VALUE!</v>
      </c>
      <c r="CR101" s="294" t="e">
        <f t="shared" si="45"/>
        <v>#VALUE!</v>
      </c>
      <c r="CS101" s="296" t="e">
        <f>(CR101/1000000)*('1a. Spredningsmodell input'!$B$49*'1a. Spredningsmodell input'!$C$35)</f>
        <v>#VALUE!</v>
      </c>
      <c r="CT101" s="294" t="e">
        <f t="shared" si="46"/>
        <v>#VALUE!</v>
      </c>
      <c r="CU101" s="290" t="e">
        <f>(CT101/1000000)*('1a. Spredningsmodell input'!$B$49)*'1a. Spredningsmodell input'!$C$35</f>
        <v>#VALUE!</v>
      </c>
      <c r="CV101" s="297" t="e">
        <f>($S101)*EXP(-(Stoff!$N101*365+$U101)*CP101)+CS101</f>
        <v>#VALUE!</v>
      </c>
      <c r="CW101" s="297" t="e">
        <f>(Stoff!$P101*$S101+CU101)*EXP(-$T101*CP101)</f>
        <v>#VALUE!</v>
      </c>
      <c r="CX101" s="297">
        <f>IF(ISERROR(CV101),0,(CV101+CW101)*1000000000/('1a. Spredningsmodell input'!$C$36*1000))</f>
        <v>0</v>
      </c>
      <c r="CY101" s="297" t="e">
        <f>$G101*(1-EXP(-'1a. Spredningsmodell input'!$B$43*Mellomregninger!CP101))*(1-EXP(-'1a. Spredningsmodell input'!$B$46*Mellomregninger!CP101))</f>
        <v>#VALUE!</v>
      </c>
      <c r="CZ101" s="297"/>
      <c r="DA101" s="297"/>
      <c r="DB101" s="262">
        <f t="shared" si="63"/>
        <v>5</v>
      </c>
      <c r="DC101" s="298" t="e">
        <f>($S101+$Q101*($O101+$I101*($D101*(1-Stoff!$P101))*(1-EXP(-($F101+Stoff!$L101*365)*DB101)))*(1-EXP(-($N101+Stoff!$M101*365)*DB101)))</f>
        <v>#VALUE!</v>
      </c>
      <c r="DD101" s="294" t="e">
        <f t="shared" si="48"/>
        <v>#VALUE!</v>
      </c>
      <c r="DE101" s="296" t="e">
        <f>(DD101/1000000)*('1a. Spredningsmodell input'!$B$49)*'1a. Spredningsmodell input'!$C$35</f>
        <v>#VALUE!</v>
      </c>
      <c r="DF101" s="294" t="e">
        <f t="shared" si="49"/>
        <v>#VALUE!</v>
      </c>
      <c r="DG101" s="290" t="e">
        <f>(DF101/1000000)*('1a. Spredningsmodell input'!$B$49)*'1a. Spredningsmodell input'!$C$35</f>
        <v>#VALUE!</v>
      </c>
      <c r="DH101" s="297" t="e">
        <f>($S101)*EXP(-(Stoff!$N101*365+$U101)*DB101)+DE101</f>
        <v>#VALUE!</v>
      </c>
      <c r="DI101" s="297" t="e">
        <f>(Stoff!$P101*$S101+DG101)*EXP(-$T101*DB101)</f>
        <v>#VALUE!</v>
      </c>
      <c r="DJ101" s="297" t="e">
        <f>(DH101+DI101)*1000000000/('1a. Spredningsmodell input'!$C$36*1000)</f>
        <v>#VALUE!</v>
      </c>
      <c r="DK101" s="297" t="e">
        <f>$G101*(1-EXP(-'1a. Spredningsmodell input'!$B$43*Mellomregninger!DB101))*(1-EXP(-'1a. Spredningsmodell input'!$B$46*Mellomregninger!DB101))</f>
        <v>#VALUE!</v>
      </c>
      <c r="DL101" s="297"/>
      <c r="DM101" s="297"/>
      <c r="DN101" s="262">
        <f t="shared" si="64"/>
        <v>20</v>
      </c>
      <c r="DO101" s="298" t="e">
        <f>($S101+$Q101*($O101+$I101*($D101*(1-Stoff!$P101))*(1-EXP(-($F101+Stoff!$L101*365)*DN101)))*(1-EXP(-($N101+Stoff!$M101*365)*DN101)))</f>
        <v>#VALUE!</v>
      </c>
      <c r="DP101" s="294" t="e">
        <f t="shared" si="51"/>
        <v>#VALUE!</v>
      </c>
      <c r="DQ101" s="296" t="e">
        <f>(DP101/1000000)*('1a. Spredningsmodell input'!$B$49)*'1a. Spredningsmodell input'!$C$35</f>
        <v>#VALUE!</v>
      </c>
      <c r="DR101" s="294" t="e">
        <f t="shared" si="52"/>
        <v>#VALUE!</v>
      </c>
      <c r="DS101" s="290" t="e">
        <f>(DR101/1000000)*('1a. Spredningsmodell input'!$B$49)*'1a. Spredningsmodell input'!$C$35</f>
        <v>#VALUE!</v>
      </c>
      <c r="DT101" s="297" t="e">
        <f>($S101)*EXP(-(Stoff!$N101*365+$U101)*DN101)+DQ101</f>
        <v>#VALUE!</v>
      </c>
      <c r="DU101" s="297" t="e">
        <f>(Stoff!$P101*$S101+DS101)*EXP(-$T101*DN101)</f>
        <v>#VALUE!</v>
      </c>
      <c r="DV101" s="297" t="e">
        <f>(DT101+DU101)*1000000000/('1a. Spredningsmodell input'!$C$36*1000)</f>
        <v>#VALUE!</v>
      </c>
      <c r="DW101" s="297" t="e">
        <f>$G101*(1-EXP(-'1a. Spredningsmodell input'!$B$43*Mellomregninger!DN101))*(1-EXP(-'1a. Spredningsmodell input'!$B$46*Mellomregninger!DN101))</f>
        <v>#VALUE!</v>
      </c>
      <c r="DX101" s="297"/>
      <c r="DY101" s="297"/>
      <c r="DZ101" s="262">
        <f t="shared" si="65"/>
        <v>100</v>
      </c>
      <c r="EA101" s="298" t="e">
        <f>($S101+$Q101*($O101+$I101*($D101*(1-Stoff!$P101))*(1-EXP(-($F101+Stoff!$L101*365)*DZ101)))*(1-EXP(-($N101+Stoff!$M101*365)*DZ101)))</f>
        <v>#VALUE!</v>
      </c>
      <c r="EB101" s="294" t="e">
        <f t="shared" si="54"/>
        <v>#VALUE!</v>
      </c>
      <c r="EC101" s="296" t="e">
        <f>(EB101/1000000)*('1a. Spredningsmodell input'!$B$49)*'1a. Spredningsmodell input'!$C$35</f>
        <v>#VALUE!</v>
      </c>
      <c r="ED101" s="294" t="e">
        <f t="shared" si="55"/>
        <v>#VALUE!</v>
      </c>
      <c r="EE101" s="290" t="e">
        <f>(ED101/1000000)*('1a. Spredningsmodell input'!$B$49)*'1a. Spredningsmodell input'!$C$35</f>
        <v>#VALUE!</v>
      </c>
      <c r="EF101" s="297" t="e">
        <f>($S101)*EXP(-(Stoff!$N101*365+$U101)*DZ101)+EC101</f>
        <v>#VALUE!</v>
      </c>
      <c r="EG101" s="297" t="e">
        <f>(Stoff!$P101*$S101+EE101)*EXP(-$T101*DZ101)</f>
        <v>#VALUE!</v>
      </c>
      <c r="EH101" s="297" t="e">
        <f>(EF101+EG101)*1000000000/('1a. Spredningsmodell input'!$C$36*1000)</f>
        <v>#VALUE!</v>
      </c>
      <c r="EI101" s="297" t="e">
        <f>$G101*(1-EXP(-'1a. Spredningsmodell input'!$B$43*Mellomregninger!DZ101))*(1-EXP(-'1a. Spredningsmodell input'!$B$46*Mellomregninger!DZ101))</f>
        <v>#VALUE!</v>
      </c>
      <c r="EJ101" s="297"/>
      <c r="EK101" s="297"/>
      <c r="EL101" s="262">
        <f t="shared" si="66"/>
        <v>1.0000000000000001E+25</v>
      </c>
      <c r="EM101" s="294" t="e">
        <f>($S101+$Q101*($O101+$I101*($D101*(1-Stoff!$P101))*(1-EXP(-($F101+Stoff!$L101*365)*EL101)))*(1-EXP(-($N101+Stoff!$M101*365)*EL101)))</f>
        <v>#VALUE!</v>
      </c>
      <c r="EN101" s="296" t="e">
        <f>($S101+$Q101*($O101+$I101*($D101*(1-Stoff!$P101))*(1-EXP(-($F101+Stoff!$L101*365)*(EL101-'1a. Spredningsmodell input'!$C$35))))*(1-EXP(-($N101+Stoff!$M101*365)*(EL101-'1a. Spredningsmodell input'!$C$35))))</f>
        <v>#VALUE!</v>
      </c>
      <c r="EO101" s="294" t="e">
        <f>IF(EL101&lt;'1a. Spredningsmodell input'!$C$35,EM101-($S101)*EXP(-(Stoff!$N101*365+$U101)*EL101),EM101-EN101)</f>
        <v>#VALUE!</v>
      </c>
      <c r="EP101" s="290" t="e">
        <f>((($D101*(Stoff!$P101))*(1-EXP(-'1a. Spredningsmodell input'!$B$43*EL101)))*(1-EXP(-'1a. Spredningsmodell input'!$B$46*EL101)))</f>
        <v>#VALUE!</v>
      </c>
      <c r="EQ101" s="294" t="e">
        <f>((($D101*(Stoff!$P101))*(1-EXP(-'1a. Spredningsmodell input'!$B$43*(EL101-'1a. Spredningsmodell input'!$C$35))))*(1-EXP(-'1a. Spredningsmodell input'!$B$46*(EL101-'1a. Spredningsmodell input'!$C$35))))</f>
        <v>#VALUE!</v>
      </c>
      <c r="ER101" s="290" t="e">
        <f>IF(EL101&lt;'1a. Spredningsmodell input'!$C$35,0,EP101-EQ101)</f>
        <v>#VALUE!</v>
      </c>
      <c r="ES101" s="297" t="e">
        <f>($S101)*EXP(-(Stoff!$N101*365+$U101)*EL101)+EO101</f>
        <v>#VALUE!</v>
      </c>
      <c r="ET101" s="297" t="e">
        <f>(Stoff!$P101*$S101+ER101)*EXP(-$T101*EL101)</f>
        <v>#VALUE!</v>
      </c>
      <c r="EU101" s="297" t="e">
        <f>(ES101+ET101)*1000000000/('1a. Spredningsmodell input'!$C$36*1000)</f>
        <v>#VALUE!</v>
      </c>
      <c r="EV101" s="262" t="e">
        <f t="shared" si="67"/>
        <v>#VALUE!</v>
      </c>
      <c r="EW101" s="299" t="e">
        <f t="shared" si="68"/>
        <v>#VALUE!</v>
      </c>
      <c r="EX101" s="262" t="e">
        <f t="shared" ref="EX101:EX114" si="69">IF(CL101=EV101,CE101+S101,CQ101+S101)</f>
        <v>#VALUE!</v>
      </c>
    </row>
    <row r="102" spans="1:154" x14ac:dyDescent="0.35">
      <c r="A102" s="301" t="str">
        <f>Stoff!A102</f>
        <v>nystoff 16</v>
      </c>
      <c r="B102" s="34" t="str">
        <f>IF(ISNUMBER('1c. Kons. porevann'!E102),1000*'1c. Kons. porevann'!E102,IF(ISNUMBER('1b. Kons. umettet jord'!E102),1000*'1b. Kons. umettet jord'!E102/C102,""))</f>
        <v/>
      </c>
      <c r="C102" s="244">
        <f>IF(Stoff!B102="uorganisk",Stoff!C102,Stoff!D102*'1a. Spredningsmodell input'!$C$11)</f>
        <v>0</v>
      </c>
      <c r="D102" s="34" t="str">
        <f>IF(ISNUMBER(B102),0.000001*('1b. Kons. umettet jord'!G102*'1a. Spredningsmodell input'!$C$12+B102*0.001*'1a. Spredningsmodell input'!$C$14)*1000*'1a. Spredningsmodell input'!$B$41*'1a. Spredningsmodell input'!$C$18,"")</f>
        <v/>
      </c>
      <c r="E102" s="283">
        <f>C102*'1a. Spredningsmodell input'!$C$12/'1a. Spredningsmodell input'!$C$14+1</f>
        <v>1</v>
      </c>
      <c r="F102" s="284">
        <f>'1a. Spredningsmodell input'!$B$43/E102</f>
        <v>1.4999999999999998</v>
      </c>
      <c r="G102" s="34" t="e">
        <f>Stoff!P102*Mellomregninger!D102</f>
        <v>#VALUE!</v>
      </c>
      <c r="H102" s="283" t="e">
        <f>(D102-G102)*(F102/(F102+Stoff!L102))</f>
        <v>#VALUE!</v>
      </c>
      <c r="I102" s="283">
        <f>F102/(F102+Stoff!L102)</f>
        <v>1</v>
      </c>
      <c r="J102" s="285" t="str">
        <f>IF(B102="","",IF(ISNUMBER('1d. Kons. mettet sone'!E102),'1d. Kons. mettet sone'!E102,IF(ISNUMBER('1e. Kons. grunnvann'!E102),'1e. Kons. grunnvann'!E102*Mellomregninger!K102,0)))</f>
        <v/>
      </c>
      <c r="K102" s="286">
        <f>IF(Stoff!B102="uorganisk",Stoff!C102,Stoff!D102*'1a. Spredningsmodell input'!$C$24)</f>
        <v>0</v>
      </c>
      <c r="L102" s="27" t="e">
        <f>IF(ISNUMBER('1e. Kons. grunnvann'!E102),1000*'1e. Kons. grunnvann'!E102,1000*J102/K102)</f>
        <v>#VALUE!</v>
      </c>
      <c r="M102" s="34">
        <f>K102*'1a. Spredningsmodell input'!$C$25/'1a. Spredningsmodell input'!$C$26+1</f>
        <v>1</v>
      </c>
      <c r="N102" s="284">
        <f>'1a. Spredningsmodell input'!$C$26/M102</f>
        <v>0.4</v>
      </c>
      <c r="O102" s="287" t="e">
        <f>0.000000001*(J102*'1a. Spredningsmodell input'!$C$25+L102)*1000*'1a. Spredningsmodell input'!$B$45</f>
        <v>#VALUE!</v>
      </c>
      <c r="P102" s="287" t="e">
        <f>O102*Stoff!P102</f>
        <v>#VALUE!</v>
      </c>
      <c r="Q102" s="287">
        <f>N102/(N102+Stoff!M102)</f>
        <v>1</v>
      </c>
      <c r="R102" s="288">
        <f>IF(ISNUMBER('1f. Kons. resipient'!E102),'1f. Kons. resipient'!E102,0)</f>
        <v>0</v>
      </c>
      <c r="S102" s="288">
        <f>0.000000001*'1a. Spredningsmodell input'!$C$36*R102*1000</f>
        <v>0</v>
      </c>
      <c r="T102" s="288">
        <f>1/'1a. Spredningsmodell input'!$C$35</f>
        <v>1</v>
      </c>
      <c r="U102" s="288">
        <f>1/'1a. Spredningsmodell input'!$C$35</f>
        <v>1</v>
      </c>
      <c r="V102" s="300" t="e">
        <f>(1/($N102+Stoff!$L102))*(LN(($D102*$I102/($D102*$I102+$J102))*($F102+Stoff!$L102+$N102+Stoff!$M102)/($N102+Stoff!$M102)))</f>
        <v>#VALUE!</v>
      </c>
      <c r="W102" s="290" t="e">
        <f>($D102-Stoff!$P102*$D102)*EXP(-($F102+Stoff!$L102*365)*V102)</f>
        <v>#VALUE!</v>
      </c>
      <c r="X102" s="291" t="e">
        <f>(Stoff!$P102*$D102)*EXP(-'1a. Spredningsmodell input'!$B$43*V102)</f>
        <v>#VALUE!</v>
      </c>
      <c r="Y102" s="290" t="e">
        <f>($D102-Stoff!$P102*$D102-W102)*($F102/($F102+Stoff!$L102*365))</f>
        <v>#VALUE!</v>
      </c>
      <c r="Z102" s="290" t="e">
        <f>(Stoff!$P102*$D102)-X102</f>
        <v>#VALUE!</v>
      </c>
      <c r="AA102" s="290" t="e">
        <f>($O102+Y102)*EXP(-($N102+Stoff!$M102*365)*V102)</f>
        <v>#VALUE!</v>
      </c>
      <c r="AB102" s="290" t="e">
        <f>(Stoff!$P102*$O102+Z102)*EXP(-('1a. Spredningsmodell input'!$B$46)*V102)</f>
        <v>#VALUE!</v>
      </c>
      <c r="AC102" s="292" t="e">
        <f>((AA102+AB102)*1000000000)/('1a. Spredningsmodell input'!$B$45*1000)</f>
        <v>#VALUE!</v>
      </c>
      <c r="AD102" s="294" t="e">
        <f>0.001*AC102/('1a. Spredningsmodell input'!$C$25+'1a. Spredningsmodell input'!$C$26/Mellomregninger!$K102)</f>
        <v>#VALUE!</v>
      </c>
      <c r="AE102" s="294" t="e">
        <f>1000*AD102/$K102+AB102*1000000000/('1a. Spredningsmodell input'!$B$45*1000)</f>
        <v>#VALUE!</v>
      </c>
      <c r="AF102" s="294" t="e">
        <f t="shared" si="35"/>
        <v>#VALUE!</v>
      </c>
      <c r="AG102" s="294" t="e">
        <f>AB102*1000000000/('1a. Spredningsmodell input'!$B$45*1000)</f>
        <v>#VALUE!</v>
      </c>
      <c r="AH102" s="300" t="e">
        <f>(1/('1a. Spredningsmodell input'!$B$46))*(LN(($D102*Stoff!$P102/($D102*Stoff!$P102+$P102*Stoff!$P102))*('1a. Spredningsmodell input'!$B$43+'1a. Spredningsmodell input'!$B$46)/('1a. Spredningsmodell input'!$B$46)))</f>
        <v>#VALUE!</v>
      </c>
      <c r="AI102" s="290" t="e">
        <f>($D102-Stoff!$P102*$D102)*EXP(-($F102+Stoff!$L102*365)*AH102)</f>
        <v>#VALUE!</v>
      </c>
      <c r="AJ102" s="291" t="e">
        <f>(Stoff!$P102*$D102)*EXP(-'1a. Spredningsmodell input'!$B$43*AH102)</f>
        <v>#VALUE!</v>
      </c>
      <c r="AK102" s="290" t="e">
        <f>($D102-Stoff!$P102*$D102-AI102)*($F102/($F102+Stoff!$L102*365))</f>
        <v>#VALUE!</v>
      </c>
      <c r="AL102" s="290" t="e">
        <f>(Stoff!$P102*$D102)-AJ102</f>
        <v>#VALUE!</v>
      </c>
      <c r="AM102" s="290" t="e">
        <f>($O102+AK102)*EXP(-($N102+Stoff!$M102*365)*AH102)</f>
        <v>#VALUE!</v>
      </c>
      <c r="AN102" s="290" t="e">
        <f>(Stoff!$P102*$O102+AL102)*EXP(-('1a. Spredningsmodell input'!$B$46)*AH102)</f>
        <v>#VALUE!</v>
      </c>
      <c r="AO102" s="292" t="e">
        <f>((AM102+AN102)*1000000000)/('1a. Spredningsmodell input'!$B$45*1000)</f>
        <v>#VALUE!</v>
      </c>
      <c r="AP102" s="294" t="e">
        <f>0.001*AO102/('1a. Spredningsmodell input'!$C$25+'1a. Spredningsmodell input'!$C$26/Mellomregninger!$K102)</f>
        <v>#VALUE!</v>
      </c>
      <c r="AQ102" s="294" t="e">
        <f>1000*AP102/$K102+AN102*1000000000/('1a. Spredningsmodell input'!$B$45*1000)</f>
        <v>#VALUE!</v>
      </c>
      <c r="AR102" s="294" t="e">
        <f t="shared" si="36"/>
        <v>#VALUE!</v>
      </c>
      <c r="AS102" s="294" t="e">
        <f>AN102*1000000000/('1a. Spredningsmodell input'!$B$45*1000)</f>
        <v>#VALUE!</v>
      </c>
      <c r="AT102" s="295">
        <f t="shared" si="60"/>
        <v>5</v>
      </c>
      <c r="AU102" s="290" t="e">
        <f>($D102-Stoff!$P102*$D102)*EXP(-($F102+Stoff!$L102*365)*AT102)</f>
        <v>#VALUE!</v>
      </c>
      <c r="AV102" s="291" t="e">
        <f>(Stoff!$P102*$D102)*EXP(-'1a. Spredningsmodell input'!$B$43*AT102)</f>
        <v>#VALUE!</v>
      </c>
      <c r="AW102" s="290" t="e">
        <f>($D102-Stoff!$P102*$D102-AU102)*($F102/($F102+Stoff!$L102*365))</f>
        <v>#VALUE!</v>
      </c>
      <c r="AX102" s="290" t="e">
        <f>(Stoff!$P102*$D102)-AV102</f>
        <v>#VALUE!</v>
      </c>
      <c r="AY102" s="290" t="e">
        <f>($O102+AW102)*EXP(-($N102+Stoff!$M102*365)*AT102)</f>
        <v>#VALUE!</v>
      </c>
      <c r="AZ102" s="290" t="e">
        <f>(Stoff!$P102*$O102+AX102)*EXP(-('1a. Spredningsmodell input'!$B$46)*AT102)</f>
        <v>#VALUE!</v>
      </c>
      <c r="BA102" s="292" t="e">
        <f>((AY102+AZ102)*1000000000)/('1a. Spredningsmodell input'!$B$45*1000)</f>
        <v>#VALUE!</v>
      </c>
      <c r="BB102" s="294" t="e">
        <f>0.001*BA102/('1a. Spredningsmodell input'!$C$25+'1a. Spredningsmodell input'!$C$26/Mellomregninger!$K102)</f>
        <v>#VALUE!</v>
      </c>
      <c r="BC102" s="294" t="e">
        <f>1000*BB102/$K102+AZ102*1000000000/('1a. Spredningsmodell input'!$B$45*1000)</f>
        <v>#VALUE!</v>
      </c>
      <c r="BD102" s="294" t="e">
        <f t="shared" si="38"/>
        <v>#VALUE!</v>
      </c>
      <c r="BE102" s="294" t="e">
        <f>AZ102*1000000000/('1a. Spredningsmodell input'!$B$45*1000)</f>
        <v>#VALUE!</v>
      </c>
      <c r="BF102" s="295">
        <f t="shared" si="61"/>
        <v>20</v>
      </c>
      <c r="BG102" s="290" t="e">
        <f>($D102-Stoff!$P102*$D102)*EXP(-($F102+Stoff!$L102*365)*BF102)</f>
        <v>#VALUE!</v>
      </c>
      <c r="BH102" s="291" t="e">
        <f>(Stoff!$P102*$D102)*EXP(-'1a. Spredningsmodell input'!$B$43*BF102)</f>
        <v>#VALUE!</v>
      </c>
      <c r="BI102" s="290" t="e">
        <f>($D102-Stoff!$P102*$D102-BG102)*($F102/($F102+Stoff!$L102*365))</f>
        <v>#VALUE!</v>
      </c>
      <c r="BJ102" s="290" t="e">
        <f>(Stoff!$P102*$D102)-BH102</f>
        <v>#VALUE!</v>
      </c>
      <c r="BK102" s="290" t="e">
        <f>($O102+BI102)*EXP(-($N102+Stoff!$M102*365)*BF102)</f>
        <v>#VALUE!</v>
      </c>
      <c r="BL102" s="290" t="e">
        <f>(Stoff!$P102*$O102+BJ102)*EXP(-('1a. Spredningsmodell input'!$B$46)*BF102)</f>
        <v>#VALUE!</v>
      </c>
      <c r="BM102" s="292" t="e">
        <f>((BK102+BL102)*1000000000)/('1a. Spredningsmodell input'!$B$45*1000)</f>
        <v>#VALUE!</v>
      </c>
      <c r="BN102" s="294" t="e">
        <f>0.001*BM102/('1a. Spredningsmodell input'!$C$25+'1a. Spredningsmodell input'!$C$26/Mellomregninger!$K102)</f>
        <v>#VALUE!</v>
      </c>
      <c r="BO102" s="294" t="e">
        <f>1000*BN102/$K102+BL102*1000000000/('1a. Spredningsmodell input'!$B$45*1000)</f>
        <v>#VALUE!</v>
      </c>
      <c r="BP102" s="294" t="e">
        <f t="shared" si="40"/>
        <v>#VALUE!</v>
      </c>
      <c r="BQ102" s="294" t="e">
        <f>BL102*1000000000/('1a. Spredningsmodell input'!$B$45*1000)</f>
        <v>#VALUE!</v>
      </c>
      <c r="BR102" s="295">
        <f t="shared" si="62"/>
        <v>100</v>
      </c>
      <c r="BS102" s="290" t="e">
        <f>($D102-Stoff!$P102*$D102)*EXP(-($F102+Stoff!$L102*365)*BR102)</f>
        <v>#VALUE!</v>
      </c>
      <c r="BT102" s="291" t="e">
        <f>(Stoff!$P102*$D102)*EXP(-'1a. Spredningsmodell input'!$B$43*BR102)</f>
        <v>#VALUE!</v>
      </c>
      <c r="BU102" s="290" t="e">
        <f>($D102-Stoff!$P102*$D102-BS102)*($F102/($F102+Stoff!$L102*365))</f>
        <v>#VALUE!</v>
      </c>
      <c r="BV102" s="290" t="e">
        <f>(Stoff!$P102*$D102)-BT102</f>
        <v>#VALUE!</v>
      </c>
      <c r="BW102" s="290" t="e">
        <f>($O102+BU102)*EXP(-($N102+Stoff!$M102*365)*BR102)</f>
        <v>#VALUE!</v>
      </c>
      <c r="BX102" s="290" t="e">
        <f>(Stoff!$P102*$O102+BV102)*EXP(-('1a. Spredningsmodell input'!$B$46)*BR102)</f>
        <v>#VALUE!</v>
      </c>
      <c r="BY102" s="292" t="e">
        <f>((BW102+BX102)*1000000000)/('1a. Spredningsmodell input'!$B$45*1000)</f>
        <v>#VALUE!</v>
      </c>
      <c r="BZ102" s="294" t="e">
        <f>0.001*BY102/('1a. Spredningsmodell input'!$C$25+'1a. Spredningsmodell input'!$C$26/Mellomregninger!$K102)</f>
        <v>#VALUE!</v>
      </c>
      <c r="CA102" s="294" t="e">
        <f>1000*BZ102/$K102+BX102*1000000000/('1a. Spredningsmodell input'!$B$45*1000)</f>
        <v>#VALUE!</v>
      </c>
      <c r="CB102" s="294" t="e">
        <f t="shared" si="42"/>
        <v>#VALUE!</v>
      </c>
      <c r="CC102" s="294" t="e">
        <f>BX102*1000000000/('1a. Spredningsmodell input'!$B$45*1000)</f>
        <v>#VALUE!</v>
      </c>
      <c r="CD102" s="294" t="e">
        <f>V102+'1a. Spredningsmodell input'!$C$35</f>
        <v>#VALUE!</v>
      </c>
      <c r="CE102" s="294" t="e">
        <f>($S102+$Q102*($O102+$I102*($D102*(1-Stoff!$P102))*(1-EXP(-($F102+Stoff!$L102*365)*CD102)))*(1-EXP(-($N102+Stoff!$M102*365)*CD102)))</f>
        <v>#VALUE!</v>
      </c>
      <c r="CF102" s="294" t="e">
        <f t="shared" si="43"/>
        <v>#VALUE!</v>
      </c>
      <c r="CG102" s="296" t="e">
        <f>(CF102/1000000)*'1a. Spredningsmodell input'!$B$49*'1a. Spredningsmodell input'!$C$35</f>
        <v>#VALUE!</v>
      </c>
      <c r="CH102" s="294" t="e">
        <f t="shared" si="44"/>
        <v>#VALUE!</v>
      </c>
      <c r="CI102" s="290" t="e">
        <f>(CH102/1000000)*'1a. Spredningsmodell input'!$B$49*'1a. Spredningsmodell input'!$C$35</f>
        <v>#VALUE!</v>
      </c>
      <c r="CJ102" s="297" t="e">
        <f>($S102)*EXP(-(Stoff!$N102*365+$U102)*CD102)+CG102</f>
        <v>#VALUE!</v>
      </c>
      <c r="CK102" s="297" t="e">
        <f>(Stoff!$P102*$S102+CI102)*EXP(-$T102*CD102)</f>
        <v>#VALUE!</v>
      </c>
      <c r="CL102" s="297" t="e">
        <f>(CJ102+CK102)*1000000000/('1a. Spredningsmodell input'!$C$36*1000)</f>
        <v>#VALUE!</v>
      </c>
      <c r="CM102" s="297" t="e">
        <f>$G102*(1-EXP(-'1a. Spredningsmodell input'!$B$43*Mellomregninger!CD102))*(1-EXP(-'1a. Spredningsmodell input'!$B$46*Mellomregninger!CD102))</f>
        <v>#VALUE!</v>
      </c>
      <c r="CN102" s="297"/>
      <c r="CO102" s="297"/>
      <c r="CP102" s="290">
        <f>IF(ISNUMBER(AH102),AH102+'1a. Spredningsmodell input'!$C$35,'1a. Spredningsmodell input'!$C$35)</f>
        <v>1</v>
      </c>
      <c r="CQ102" s="294" t="e">
        <f>($S102+$Q102*($O102+$I102*($D102*(1-Stoff!$P102))*(1-EXP(-($F102+Stoff!$L102*365)*CP102)))*(1-EXP(-($N102+Stoff!$M102*365)*CP102)))</f>
        <v>#VALUE!</v>
      </c>
      <c r="CR102" s="294" t="e">
        <f t="shared" si="45"/>
        <v>#VALUE!</v>
      </c>
      <c r="CS102" s="296" t="e">
        <f>(CR102/1000000)*('1a. Spredningsmodell input'!$B$49*'1a. Spredningsmodell input'!$C$35)</f>
        <v>#VALUE!</v>
      </c>
      <c r="CT102" s="294" t="e">
        <f t="shared" si="46"/>
        <v>#VALUE!</v>
      </c>
      <c r="CU102" s="290" t="e">
        <f>(CT102/1000000)*('1a. Spredningsmodell input'!$B$49)*'1a. Spredningsmodell input'!$C$35</f>
        <v>#VALUE!</v>
      </c>
      <c r="CV102" s="297" t="e">
        <f>($S102)*EXP(-(Stoff!$N102*365+$U102)*CP102)+CS102</f>
        <v>#VALUE!</v>
      </c>
      <c r="CW102" s="297" t="e">
        <f>(Stoff!$P102*$S102+CU102)*EXP(-$T102*CP102)</f>
        <v>#VALUE!</v>
      </c>
      <c r="CX102" s="297">
        <f>IF(ISERROR(CV102),0,(CV102+CW102)*1000000000/('1a. Spredningsmodell input'!$C$36*1000))</f>
        <v>0</v>
      </c>
      <c r="CY102" s="297" t="e">
        <f>$G102*(1-EXP(-'1a. Spredningsmodell input'!$B$43*Mellomregninger!CP102))*(1-EXP(-'1a. Spredningsmodell input'!$B$46*Mellomregninger!CP102))</f>
        <v>#VALUE!</v>
      </c>
      <c r="CZ102" s="297"/>
      <c r="DA102" s="297"/>
      <c r="DB102" s="262">
        <f t="shared" si="63"/>
        <v>5</v>
      </c>
      <c r="DC102" s="298" t="e">
        <f>($S102+$Q102*($O102+$I102*($D102*(1-Stoff!$P102))*(1-EXP(-($F102+Stoff!$L102*365)*DB102)))*(1-EXP(-($N102+Stoff!$M102*365)*DB102)))</f>
        <v>#VALUE!</v>
      </c>
      <c r="DD102" s="294" t="e">
        <f t="shared" si="48"/>
        <v>#VALUE!</v>
      </c>
      <c r="DE102" s="296" t="e">
        <f>(DD102/1000000)*('1a. Spredningsmodell input'!$B$49)*'1a. Spredningsmodell input'!$C$35</f>
        <v>#VALUE!</v>
      </c>
      <c r="DF102" s="294" t="e">
        <f t="shared" si="49"/>
        <v>#VALUE!</v>
      </c>
      <c r="DG102" s="290" t="e">
        <f>(DF102/1000000)*('1a. Spredningsmodell input'!$B$49)*'1a. Spredningsmodell input'!$C$35</f>
        <v>#VALUE!</v>
      </c>
      <c r="DH102" s="297" t="e">
        <f>($S102)*EXP(-(Stoff!$N102*365+$U102)*DB102)+DE102</f>
        <v>#VALUE!</v>
      </c>
      <c r="DI102" s="297" t="e">
        <f>(Stoff!$P102*$S102+DG102)*EXP(-$T102*DB102)</f>
        <v>#VALUE!</v>
      </c>
      <c r="DJ102" s="297" t="e">
        <f>(DH102+DI102)*1000000000/('1a. Spredningsmodell input'!$C$36*1000)</f>
        <v>#VALUE!</v>
      </c>
      <c r="DK102" s="297" t="e">
        <f>$G102*(1-EXP(-'1a. Spredningsmodell input'!$B$43*Mellomregninger!DB102))*(1-EXP(-'1a. Spredningsmodell input'!$B$46*Mellomregninger!DB102))</f>
        <v>#VALUE!</v>
      </c>
      <c r="DL102" s="297"/>
      <c r="DM102" s="297"/>
      <c r="DN102" s="262">
        <f t="shared" si="64"/>
        <v>20</v>
      </c>
      <c r="DO102" s="298" t="e">
        <f>($S102+$Q102*($O102+$I102*($D102*(1-Stoff!$P102))*(1-EXP(-($F102+Stoff!$L102*365)*DN102)))*(1-EXP(-($N102+Stoff!$M102*365)*DN102)))</f>
        <v>#VALUE!</v>
      </c>
      <c r="DP102" s="294" t="e">
        <f t="shared" si="51"/>
        <v>#VALUE!</v>
      </c>
      <c r="DQ102" s="296" t="e">
        <f>(DP102/1000000)*('1a. Spredningsmodell input'!$B$49)*'1a. Spredningsmodell input'!$C$35</f>
        <v>#VALUE!</v>
      </c>
      <c r="DR102" s="294" t="e">
        <f t="shared" si="52"/>
        <v>#VALUE!</v>
      </c>
      <c r="DS102" s="290" t="e">
        <f>(DR102/1000000)*('1a. Spredningsmodell input'!$B$49)*'1a. Spredningsmodell input'!$C$35</f>
        <v>#VALUE!</v>
      </c>
      <c r="DT102" s="297" t="e">
        <f>($S102)*EXP(-(Stoff!$N102*365+$U102)*DN102)+DQ102</f>
        <v>#VALUE!</v>
      </c>
      <c r="DU102" s="297" t="e">
        <f>(Stoff!$P102*$S102+DS102)*EXP(-$T102*DN102)</f>
        <v>#VALUE!</v>
      </c>
      <c r="DV102" s="297" t="e">
        <f>(DT102+DU102)*1000000000/('1a. Spredningsmodell input'!$C$36*1000)</f>
        <v>#VALUE!</v>
      </c>
      <c r="DW102" s="297" t="e">
        <f>$G102*(1-EXP(-'1a. Spredningsmodell input'!$B$43*Mellomregninger!DN102))*(1-EXP(-'1a. Spredningsmodell input'!$B$46*Mellomregninger!DN102))</f>
        <v>#VALUE!</v>
      </c>
      <c r="DX102" s="297"/>
      <c r="DY102" s="297"/>
      <c r="DZ102" s="262">
        <f t="shared" si="65"/>
        <v>100</v>
      </c>
      <c r="EA102" s="298" t="e">
        <f>($S102+$Q102*($O102+$I102*($D102*(1-Stoff!$P102))*(1-EXP(-($F102+Stoff!$L102*365)*DZ102)))*(1-EXP(-($N102+Stoff!$M102*365)*DZ102)))</f>
        <v>#VALUE!</v>
      </c>
      <c r="EB102" s="294" t="e">
        <f t="shared" si="54"/>
        <v>#VALUE!</v>
      </c>
      <c r="EC102" s="296" t="e">
        <f>(EB102/1000000)*('1a. Spredningsmodell input'!$B$49)*'1a. Spredningsmodell input'!$C$35</f>
        <v>#VALUE!</v>
      </c>
      <c r="ED102" s="294" t="e">
        <f t="shared" si="55"/>
        <v>#VALUE!</v>
      </c>
      <c r="EE102" s="290" t="e">
        <f>(ED102/1000000)*('1a. Spredningsmodell input'!$B$49)*'1a. Spredningsmodell input'!$C$35</f>
        <v>#VALUE!</v>
      </c>
      <c r="EF102" s="297" t="e">
        <f>($S102)*EXP(-(Stoff!$N102*365+$U102)*DZ102)+EC102</f>
        <v>#VALUE!</v>
      </c>
      <c r="EG102" s="297" t="e">
        <f>(Stoff!$P102*$S102+EE102)*EXP(-$T102*DZ102)</f>
        <v>#VALUE!</v>
      </c>
      <c r="EH102" s="297" t="e">
        <f>(EF102+EG102)*1000000000/('1a. Spredningsmodell input'!$C$36*1000)</f>
        <v>#VALUE!</v>
      </c>
      <c r="EI102" s="297" t="e">
        <f>$G102*(1-EXP(-'1a. Spredningsmodell input'!$B$43*Mellomregninger!DZ102))*(1-EXP(-'1a. Spredningsmodell input'!$B$46*Mellomregninger!DZ102))</f>
        <v>#VALUE!</v>
      </c>
      <c r="EJ102" s="297"/>
      <c r="EK102" s="297"/>
      <c r="EL102" s="262">
        <f t="shared" si="66"/>
        <v>1.0000000000000001E+25</v>
      </c>
      <c r="EM102" s="294" t="e">
        <f>($S102+$Q102*($O102+$I102*($D102*(1-Stoff!$P102))*(1-EXP(-($F102+Stoff!$L102*365)*EL102)))*(1-EXP(-($N102+Stoff!$M102*365)*EL102)))</f>
        <v>#VALUE!</v>
      </c>
      <c r="EN102" s="296" t="e">
        <f>($S102+$Q102*($O102+$I102*($D102*(1-Stoff!$P102))*(1-EXP(-($F102+Stoff!$L102*365)*(EL102-'1a. Spredningsmodell input'!$C$35))))*(1-EXP(-($N102+Stoff!$M102*365)*(EL102-'1a. Spredningsmodell input'!$C$35))))</f>
        <v>#VALUE!</v>
      </c>
      <c r="EO102" s="294" t="e">
        <f>IF(EL102&lt;'1a. Spredningsmodell input'!$C$35,EM102-($S102)*EXP(-(Stoff!$N102*365+$U102)*EL102),EM102-EN102)</f>
        <v>#VALUE!</v>
      </c>
      <c r="EP102" s="290" t="e">
        <f>((($D102*(Stoff!$P102))*(1-EXP(-'1a. Spredningsmodell input'!$B$43*EL102)))*(1-EXP(-'1a. Spredningsmodell input'!$B$46*EL102)))</f>
        <v>#VALUE!</v>
      </c>
      <c r="EQ102" s="294" t="e">
        <f>((($D102*(Stoff!$P102))*(1-EXP(-'1a. Spredningsmodell input'!$B$43*(EL102-'1a. Spredningsmodell input'!$C$35))))*(1-EXP(-'1a. Spredningsmodell input'!$B$46*(EL102-'1a. Spredningsmodell input'!$C$35))))</f>
        <v>#VALUE!</v>
      </c>
      <c r="ER102" s="290" t="e">
        <f>IF(EL102&lt;'1a. Spredningsmodell input'!$C$35,0,EP102-EQ102)</f>
        <v>#VALUE!</v>
      </c>
      <c r="ES102" s="297" t="e">
        <f>($S102)*EXP(-(Stoff!$N102*365+$U102)*EL102)+EO102</f>
        <v>#VALUE!</v>
      </c>
      <c r="ET102" s="297" t="e">
        <f>(Stoff!$P102*$S102+ER102)*EXP(-$T102*EL102)</f>
        <v>#VALUE!</v>
      </c>
      <c r="EU102" s="297" t="e">
        <f>(ES102+ET102)*1000000000/('1a. Spredningsmodell input'!$C$36*1000)</f>
        <v>#VALUE!</v>
      </c>
      <c r="EV102" s="262" t="e">
        <f t="shared" si="67"/>
        <v>#VALUE!</v>
      </c>
      <c r="EW102" s="299" t="e">
        <f t="shared" si="68"/>
        <v>#VALUE!</v>
      </c>
      <c r="EX102" s="262" t="e">
        <f t="shared" si="69"/>
        <v>#VALUE!</v>
      </c>
    </row>
    <row r="103" spans="1:154" x14ac:dyDescent="0.35">
      <c r="A103" s="301" t="str">
        <f>Stoff!A103</f>
        <v>nystoff 17</v>
      </c>
      <c r="B103" s="34" t="str">
        <f>IF(ISNUMBER('1c. Kons. porevann'!E103),1000*'1c. Kons. porevann'!E103,IF(ISNUMBER('1b. Kons. umettet jord'!E103),1000*'1b. Kons. umettet jord'!E103/C103,""))</f>
        <v/>
      </c>
      <c r="C103" s="244">
        <f>IF(Stoff!B103="uorganisk",Stoff!C103,Stoff!D103*'1a. Spredningsmodell input'!$C$11)</f>
        <v>0</v>
      </c>
      <c r="D103" s="34" t="str">
        <f>IF(ISNUMBER(B103),0.000001*('1b. Kons. umettet jord'!G103*'1a. Spredningsmodell input'!$C$12+B103*0.001*'1a. Spredningsmodell input'!$C$14)*1000*'1a. Spredningsmodell input'!$B$41*'1a. Spredningsmodell input'!$C$18,"")</f>
        <v/>
      </c>
      <c r="E103" s="283">
        <f>C103*'1a. Spredningsmodell input'!$C$12/'1a. Spredningsmodell input'!$C$14+1</f>
        <v>1</v>
      </c>
      <c r="F103" s="284">
        <f>'1a. Spredningsmodell input'!$B$43/E103</f>
        <v>1.4999999999999998</v>
      </c>
      <c r="G103" s="34" t="e">
        <f>Stoff!P103*Mellomregninger!D103</f>
        <v>#VALUE!</v>
      </c>
      <c r="H103" s="283" t="e">
        <f>(D103-G103)*(F103/(F103+Stoff!L103))</f>
        <v>#VALUE!</v>
      </c>
      <c r="I103" s="283">
        <f>F103/(F103+Stoff!L103)</f>
        <v>1</v>
      </c>
      <c r="J103" s="285" t="str">
        <f>IF(B103="","",IF(ISNUMBER('1d. Kons. mettet sone'!E103),'1d. Kons. mettet sone'!E103,IF(ISNUMBER('1e. Kons. grunnvann'!E103),'1e. Kons. grunnvann'!E103*Mellomregninger!K103,0)))</f>
        <v/>
      </c>
      <c r="K103" s="286">
        <f>IF(Stoff!B103="uorganisk",Stoff!C103,Stoff!D103*'1a. Spredningsmodell input'!$C$24)</f>
        <v>0</v>
      </c>
      <c r="L103" s="27" t="e">
        <f>IF(ISNUMBER('1e. Kons. grunnvann'!E103),1000*'1e. Kons. grunnvann'!E103,1000*J103/K103)</f>
        <v>#VALUE!</v>
      </c>
      <c r="M103" s="34">
        <f>K103*'1a. Spredningsmodell input'!$C$25/'1a. Spredningsmodell input'!$C$26+1</f>
        <v>1</v>
      </c>
      <c r="N103" s="284">
        <f>'1a. Spredningsmodell input'!$C$26/M103</f>
        <v>0.4</v>
      </c>
      <c r="O103" s="287" t="e">
        <f>0.000000001*(J103*'1a. Spredningsmodell input'!$C$25+L103)*1000*'1a. Spredningsmodell input'!$B$45</f>
        <v>#VALUE!</v>
      </c>
      <c r="P103" s="287" t="e">
        <f>O103*Stoff!P103</f>
        <v>#VALUE!</v>
      </c>
      <c r="Q103" s="287">
        <f>N103/(N103+Stoff!M103)</f>
        <v>1</v>
      </c>
      <c r="R103" s="288">
        <f>IF(ISNUMBER('1f. Kons. resipient'!E103),'1f. Kons. resipient'!E103,0)</f>
        <v>0</v>
      </c>
      <c r="S103" s="288">
        <f>0.000000001*'1a. Spredningsmodell input'!$C$36*R103*1000</f>
        <v>0</v>
      </c>
      <c r="T103" s="288">
        <f>1/'1a. Spredningsmodell input'!$C$35</f>
        <v>1</v>
      </c>
      <c r="U103" s="288">
        <f>1/'1a. Spredningsmodell input'!$C$35</f>
        <v>1</v>
      </c>
      <c r="V103" s="300" t="e">
        <f>(1/($N103+Stoff!$L103))*(LN(($D103*$I103/($D103*$I103+$J103))*($F103+Stoff!$L103+$N103+Stoff!$M103)/($N103+Stoff!$M103)))</f>
        <v>#VALUE!</v>
      </c>
      <c r="W103" s="290" t="e">
        <f>($D103-Stoff!$P103*$D103)*EXP(-($F103+Stoff!$L103*365)*V103)</f>
        <v>#VALUE!</v>
      </c>
      <c r="X103" s="291" t="e">
        <f>(Stoff!$P103*$D103)*EXP(-'1a. Spredningsmodell input'!$B$43*V103)</f>
        <v>#VALUE!</v>
      </c>
      <c r="Y103" s="290" t="e">
        <f>($D103-Stoff!$P103*$D103-W103)*($F103/($F103+Stoff!$L103*365))</f>
        <v>#VALUE!</v>
      </c>
      <c r="Z103" s="290" t="e">
        <f>(Stoff!$P103*$D103)-X103</f>
        <v>#VALUE!</v>
      </c>
      <c r="AA103" s="290" t="e">
        <f>($O103+Y103)*EXP(-($N103+Stoff!$M103*365)*V103)</f>
        <v>#VALUE!</v>
      </c>
      <c r="AB103" s="290" t="e">
        <f>(Stoff!$P103*$O103+Z103)*EXP(-('1a. Spredningsmodell input'!$B$46)*V103)</f>
        <v>#VALUE!</v>
      </c>
      <c r="AC103" s="292" t="e">
        <f>((AA103+AB103)*1000000000)/('1a. Spredningsmodell input'!$B$45*1000)</f>
        <v>#VALUE!</v>
      </c>
      <c r="AD103" s="294" t="e">
        <f>0.001*AC103/('1a. Spredningsmodell input'!$C$25+'1a. Spredningsmodell input'!$C$26/Mellomregninger!$K103)</f>
        <v>#VALUE!</v>
      </c>
      <c r="AE103" s="294" t="e">
        <f>1000*AD103/$K103+AB103*1000000000/('1a. Spredningsmodell input'!$B$45*1000)</f>
        <v>#VALUE!</v>
      </c>
      <c r="AF103" s="294" t="e">
        <f t="shared" si="35"/>
        <v>#VALUE!</v>
      </c>
      <c r="AG103" s="294" t="e">
        <f>AB103*1000000000/('1a. Spredningsmodell input'!$B$45*1000)</f>
        <v>#VALUE!</v>
      </c>
      <c r="AH103" s="300" t="e">
        <f>(1/('1a. Spredningsmodell input'!$B$46))*(LN(($D103*Stoff!$P103/($D103*Stoff!$P103+$P103*Stoff!$P103))*('1a. Spredningsmodell input'!$B$43+'1a. Spredningsmodell input'!$B$46)/('1a. Spredningsmodell input'!$B$46)))</f>
        <v>#VALUE!</v>
      </c>
      <c r="AI103" s="290" t="e">
        <f>($D103-Stoff!$P103*$D103)*EXP(-($F103+Stoff!$L103*365)*AH103)</f>
        <v>#VALUE!</v>
      </c>
      <c r="AJ103" s="291" t="e">
        <f>(Stoff!$P103*$D103)*EXP(-'1a. Spredningsmodell input'!$B$43*AH103)</f>
        <v>#VALUE!</v>
      </c>
      <c r="AK103" s="290" t="e">
        <f>($D103-Stoff!$P103*$D103-AI103)*($F103/($F103+Stoff!$L103*365))</f>
        <v>#VALUE!</v>
      </c>
      <c r="AL103" s="290" t="e">
        <f>(Stoff!$P103*$D103)-AJ103</f>
        <v>#VALUE!</v>
      </c>
      <c r="AM103" s="290" t="e">
        <f>($O103+AK103)*EXP(-($N103+Stoff!$M103*365)*AH103)</f>
        <v>#VALUE!</v>
      </c>
      <c r="AN103" s="290" t="e">
        <f>(Stoff!$P103*$O103+AL103)*EXP(-('1a. Spredningsmodell input'!$B$46)*AH103)</f>
        <v>#VALUE!</v>
      </c>
      <c r="AO103" s="292" t="e">
        <f>((AM103+AN103)*1000000000)/('1a. Spredningsmodell input'!$B$45*1000)</f>
        <v>#VALUE!</v>
      </c>
      <c r="AP103" s="294" t="e">
        <f>0.001*AO103/('1a. Spredningsmodell input'!$C$25+'1a. Spredningsmodell input'!$C$26/Mellomregninger!$K103)</f>
        <v>#VALUE!</v>
      </c>
      <c r="AQ103" s="294" t="e">
        <f>1000*AP103/$K103+AN103*1000000000/('1a. Spredningsmodell input'!$B$45*1000)</f>
        <v>#VALUE!</v>
      </c>
      <c r="AR103" s="294" t="e">
        <f t="shared" si="36"/>
        <v>#VALUE!</v>
      </c>
      <c r="AS103" s="294" t="e">
        <f>AN103*1000000000/('1a. Spredningsmodell input'!$B$45*1000)</f>
        <v>#VALUE!</v>
      </c>
      <c r="AT103" s="295">
        <f t="shared" si="60"/>
        <v>5</v>
      </c>
      <c r="AU103" s="290" t="e">
        <f>($D103-Stoff!$P103*$D103)*EXP(-($F103+Stoff!$L103*365)*AT103)</f>
        <v>#VALUE!</v>
      </c>
      <c r="AV103" s="291" t="e">
        <f>(Stoff!$P103*$D103)*EXP(-'1a. Spredningsmodell input'!$B$43*AT103)</f>
        <v>#VALUE!</v>
      </c>
      <c r="AW103" s="290" t="e">
        <f>($D103-Stoff!$P103*$D103-AU103)*($F103/($F103+Stoff!$L103*365))</f>
        <v>#VALUE!</v>
      </c>
      <c r="AX103" s="290" t="e">
        <f>(Stoff!$P103*$D103)-AV103</f>
        <v>#VALUE!</v>
      </c>
      <c r="AY103" s="290" t="e">
        <f>($O103+AW103)*EXP(-($N103+Stoff!$M103*365)*AT103)</f>
        <v>#VALUE!</v>
      </c>
      <c r="AZ103" s="290" t="e">
        <f>(Stoff!$P103*$O103+AX103)*EXP(-('1a. Spredningsmodell input'!$B$46)*AT103)</f>
        <v>#VALUE!</v>
      </c>
      <c r="BA103" s="292" t="e">
        <f>((AY103+AZ103)*1000000000)/('1a. Spredningsmodell input'!$B$45*1000)</f>
        <v>#VALUE!</v>
      </c>
      <c r="BB103" s="294" t="e">
        <f>0.001*BA103/('1a. Spredningsmodell input'!$C$25+'1a. Spredningsmodell input'!$C$26/Mellomregninger!$K103)</f>
        <v>#VALUE!</v>
      </c>
      <c r="BC103" s="294" t="e">
        <f>1000*BB103/$K103+AZ103*1000000000/('1a. Spredningsmodell input'!$B$45*1000)</f>
        <v>#VALUE!</v>
      </c>
      <c r="BD103" s="294" t="e">
        <f t="shared" si="38"/>
        <v>#VALUE!</v>
      </c>
      <c r="BE103" s="294" t="e">
        <f>AZ103*1000000000/('1a. Spredningsmodell input'!$B$45*1000)</f>
        <v>#VALUE!</v>
      </c>
      <c r="BF103" s="295">
        <f t="shared" si="61"/>
        <v>20</v>
      </c>
      <c r="BG103" s="290" t="e">
        <f>($D103-Stoff!$P103*$D103)*EXP(-($F103+Stoff!$L103*365)*BF103)</f>
        <v>#VALUE!</v>
      </c>
      <c r="BH103" s="291" t="e">
        <f>(Stoff!$P103*$D103)*EXP(-'1a. Spredningsmodell input'!$B$43*BF103)</f>
        <v>#VALUE!</v>
      </c>
      <c r="BI103" s="290" t="e">
        <f>($D103-Stoff!$P103*$D103-BG103)*($F103/($F103+Stoff!$L103*365))</f>
        <v>#VALUE!</v>
      </c>
      <c r="BJ103" s="290" t="e">
        <f>(Stoff!$P103*$D103)-BH103</f>
        <v>#VALUE!</v>
      </c>
      <c r="BK103" s="290" t="e">
        <f>($O103+BI103)*EXP(-($N103+Stoff!$M103*365)*BF103)</f>
        <v>#VALUE!</v>
      </c>
      <c r="BL103" s="290" t="e">
        <f>(Stoff!$P103*$O103+BJ103)*EXP(-('1a. Spredningsmodell input'!$B$46)*BF103)</f>
        <v>#VALUE!</v>
      </c>
      <c r="BM103" s="292" t="e">
        <f>((BK103+BL103)*1000000000)/('1a. Spredningsmodell input'!$B$45*1000)</f>
        <v>#VALUE!</v>
      </c>
      <c r="BN103" s="294" t="e">
        <f>0.001*BM103/('1a. Spredningsmodell input'!$C$25+'1a. Spredningsmodell input'!$C$26/Mellomregninger!$K103)</f>
        <v>#VALUE!</v>
      </c>
      <c r="BO103" s="294" t="e">
        <f>1000*BN103/$K103+BL103*1000000000/('1a. Spredningsmodell input'!$B$45*1000)</f>
        <v>#VALUE!</v>
      </c>
      <c r="BP103" s="294" t="e">
        <f t="shared" si="40"/>
        <v>#VALUE!</v>
      </c>
      <c r="BQ103" s="294" t="e">
        <f>BL103*1000000000/('1a. Spredningsmodell input'!$B$45*1000)</f>
        <v>#VALUE!</v>
      </c>
      <c r="BR103" s="295">
        <f t="shared" si="62"/>
        <v>100</v>
      </c>
      <c r="BS103" s="290" t="e">
        <f>($D103-Stoff!$P103*$D103)*EXP(-($F103+Stoff!$L103*365)*BR103)</f>
        <v>#VALUE!</v>
      </c>
      <c r="BT103" s="291" t="e">
        <f>(Stoff!$P103*$D103)*EXP(-'1a. Spredningsmodell input'!$B$43*BR103)</f>
        <v>#VALUE!</v>
      </c>
      <c r="BU103" s="290" t="e">
        <f>($D103-Stoff!$P103*$D103-BS103)*($F103/($F103+Stoff!$L103*365))</f>
        <v>#VALUE!</v>
      </c>
      <c r="BV103" s="290" t="e">
        <f>(Stoff!$P103*$D103)-BT103</f>
        <v>#VALUE!</v>
      </c>
      <c r="BW103" s="290" t="e">
        <f>($O103+BU103)*EXP(-($N103+Stoff!$M103*365)*BR103)</f>
        <v>#VALUE!</v>
      </c>
      <c r="BX103" s="290" t="e">
        <f>(Stoff!$P103*$O103+BV103)*EXP(-('1a. Spredningsmodell input'!$B$46)*BR103)</f>
        <v>#VALUE!</v>
      </c>
      <c r="BY103" s="292" t="e">
        <f>((BW103+BX103)*1000000000)/('1a. Spredningsmodell input'!$B$45*1000)</f>
        <v>#VALUE!</v>
      </c>
      <c r="BZ103" s="294" t="e">
        <f>0.001*BY103/('1a. Spredningsmodell input'!$C$25+'1a. Spredningsmodell input'!$C$26/Mellomregninger!$K103)</f>
        <v>#VALUE!</v>
      </c>
      <c r="CA103" s="294" t="e">
        <f>1000*BZ103/$K103+BX103*1000000000/('1a. Spredningsmodell input'!$B$45*1000)</f>
        <v>#VALUE!</v>
      </c>
      <c r="CB103" s="294" t="e">
        <f t="shared" si="42"/>
        <v>#VALUE!</v>
      </c>
      <c r="CC103" s="294" t="e">
        <f>BX103*1000000000/('1a. Spredningsmodell input'!$B$45*1000)</f>
        <v>#VALUE!</v>
      </c>
      <c r="CD103" s="294" t="e">
        <f>V103+'1a. Spredningsmodell input'!$C$35</f>
        <v>#VALUE!</v>
      </c>
      <c r="CE103" s="294" t="e">
        <f>($S103+$Q103*($O103+$I103*($D103*(1-Stoff!$P103))*(1-EXP(-($F103+Stoff!$L103*365)*CD103)))*(1-EXP(-($N103+Stoff!$M103*365)*CD103)))</f>
        <v>#VALUE!</v>
      </c>
      <c r="CF103" s="294" t="e">
        <f t="shared" si="43"/>
        <v>#VALUE!</v>
      </c>
      <c r="CG103" s="296" t="e">
        <f>(CF103/1000000)*'1a. Spredningsmodell input'!$B$49*'1a. Spredningsmodell input'!$C$35</f>
        <v>#VALUE!</v>
      </c>
      <c r="CH103" s="294" t="e">
        <f t="shared" si="44"/>
        <v>#VALUE!</v>
      </c>
      <c r="CI103" s="290" t="e">
        <f>(CH103/1000000)*'1a. Spredningsmodell input'!$B$49*'1a. Spredningsmodell input'!$C$35</f>
        <v>#VALUE!</v>
      </c>
      <c r="CJ103" s="297" t="e">
        <f>($S103)*EXP(-(Stoff!$N103*365+$U103)*CD103)+CG103</f>
        <v>#VALUE!</v>
      </c>
      <c r="CK103" s="297" t="e">
        <f>(Stoff!$P103*$S103+CI103)*EXP(-$T103*CD103)</f>
        <v>#VALUE!</v>
      </c>
      <c r="CL103" s="297" t="e">
        <f>(CJ103+CK103)*1000000000/('1a. Spredningsmodell input'!$C$36*1000)</f>
        <v>#VALUE!</v>
      </c>
      <c r="CM103" s="297" t="e">
        <f>$G103*(1-EXP(-'1a. Spredningsmodell input'!$B$43*Mellomregninger!CD103))*(1-EXP(-'1a. Spredningsmodell input'!$B$46*Mellomregninger!CD103))</f>
        <v>#VALUE!</v>
      </c>
      <c r="CN103" s="297"/>
      <c r="CO103" s="297"/>
      <c r="CP103" s="290">
        <f>IF(ISNUMBER(AH103),AH103+'1a. Spredningsmodell input'!$C$35,'1a. Spredningsmodell input'!$C$35)</f>
        <v>1</v>
      </c>
      <c r="CQ103" s="294" t="e">
        <f>($S103+$Q103*($O103+$I103*($D103*(1-Stoff!$P103))*(1-EXP(-($F103+Stoff!$L103*365)*CP103)))*(1-EXP(-($N103+Stoff!$M103*365)*CP103)))</f>
        <v>#VALUE!</v>
      </c>
      <c r="CR103" s="294" t="e">
        <f t="shared" si="45"/>
        <v>#VALUE!</v>
      </c>
      <c r="CS103" s="296" t="e">
        <f>(CR103/1000000)*('1a. Spredningsmodell input'!$B$49*'1a. Spredningsmodell input'!$C$35)</f>
        <v>#VALUE!</v>
      </c>
      <c r="CT103" s="294" t="e">
        <f t="shared" si="46"/>
        <v>#VALUE!</v>
      </c>
      <c r="CU103" s="290" t="e">
        <f>(CT103/1000000)*('1a. Spredningsmodell input'!$B$49)*'1a. Spredningsmodell input'!$C$35</f>
        <v>#VALUE!</v>
      </c>
      <c r="CV103" s="297" t="e">
        <f>($S103)*EXP(-(Stoff!$N103*365+$U103)*CP103)+CS103</f>
        <v>#VALUE!</v>
      </c>
      <c r="CW103" s="297" t="e">
        <f>(Stoff!$P103*$S103+CU103)*EXP(-$T103*CP103)</f>
        <v>#VALUE!</v>
      </c>
      <c r="CX103" s="297">
        <f>IF(ISERROR(CV103),0,(CV103+CW103)*1000000000/('1a. Spredningsmodell input'!$C$36*1000))</f>
        <v>0</v>
      </c>
      <c r="CY103" s="297" t="e">
        <f>$G103*(1-EXP(-'1a. Spredningsmodell input'!$B$43*Mellomregninger!CP103))*(1-EXP(-'1a. Spredningsmodell input'!$B$46*Mellomregninger!CP103))</f>
        <v>#VALUE!</v>
      </c>
      <c r="CZ103" s="297"/>
      <c r="DA103" s="297"/>
      <c r="DB103" s="262">
        <f t="shared" si="63"/>
        <v>5</v>
      </c>
      <c r="DC103" s="298" t="e">
        <f>($S103+$Q103*($O103+$I103*($D103*(1-Stoff!$P103))*(1-EXP(-($F103+Stoff!$L103*365)*DB103)))*(1-EXP(-($N103+Stoff!$M103*365)*DB103)))</f>
        <v>#VALUE!</v>
      </c>
      <c r="DD103" s="294" t="e">
        <f t="shared" si="48"/>
        <v>#VALUE!</v>
      </c>
      <c r="DE103" s="296" t="e">
        <f>(DD103/1000000)*('1a. Spredningsmodell input'!$B$49)*'1a. Spredningsmodell input'!$C$35</f>
        <v>#VALUE!</v>
      </c>
      <c r="DF103" s="294" t="e">
        <f t="shared" si="49"/>
        <v>#VALUE!</v>
      </c>
      <c r="DG103" s="290" t="e">
        <f>(DF103/1000000)*('1a. Spredningsmodell input'!$B$49)*'1a. Spredningsmodell input'!$C$35</f>
        <v>#VALUE!</v>
      </c>
      <c r="DH103" s="297" t="e">
        <f>($S103)*EXP(-(Stoff!$N103*365+$U103)*DB103)+DE103</f>
        <v>#VALUE!</v>
      </c>
      <c r="DI103" s="297" t="e">
        <f>(Stoff!$P103*$S103+DG103)*EXP(-$T103*DB103)</f>
        <v>#VALUE!</v>
      </c>
      <c r="DJ103" s="297" t="e">
        <f>(DH103+DI103)*1000000000/('1a. Spredningsmodell input'!$C$36*1000)</f>
        <v>#VALUE!</v>
      </c>
      <c r="DK103" s="297" t="e">
        <f>$G103*(1-EXP(-'1a. Spredningsmodell input'!$B$43*Mellomregninger!DB103))*(1-EXP(-'1a. Spredningsmodell input'!$B$46*Mellomregninger!DB103))</f>
        <v>#VALUE!</v>
      </c>
      <c r="DL103" s="297"/>
      <c r="DM103" s="297"/>
      <c r="DN103" s="262">
        <f t="shared" si="64"/>
        <v>20</v>
      </c>
      <c r="DO103" s="298" t="e">
        <f>($S103+$Q103*($O103+$I103*($D103*(1-Stoff!$P103))*(1-EXP(-($F103+Stoff!$L103*365)*DN103)))*(1-EXP(-($N103+Stoff!$M103*365)*DN103)))</f>
        <v>#VALUE!</v>
      </c>
      <c r="DP103" s="294" t="e">
        <f t="shared" si="51"/>
        <v>#VALUE!</v>
      </c>
      <c r="DQ103" s="296" t="e">
        <f>(DP103/1000000)*('1a. Spredningsmodell input'!$B$49)*'1a. Spredningsmodell input'!$C$35</f>
        <v>#VALUE!</v>
      </c>
      <c r="DR103" s="294" t="e">
        <f t="shared" si="52"/>
        <v>#VALUE!</v>
      </c>
      <c r="DS103" s="290" t="e">
        <f>(DR103/1000000)*('1a. Spredningsmodell input'!$B$49)*'1a. Spredningsmodell input'!$C$35</f>
        <v>#VALUE!</v>
      </c>
      <c r="DT103" s="297" t="e">
        <f>($S103)*EXP(-(Stoff!$N103*365+$U103)*DN103)+DQ103</f>
        <v>#VALUE!</v>
      </c>
      <c r="DU103" s="297" t="e">
        <f>(Stoff!$P103*$S103+DS103)*EXP(-$T103*DN103)</f>
        <v>#VALUE!</v>
      </c>
      <c r="DV103" s="297" t="e">
        <f>(DT103+DU103)*1000000000/('1a. Spredningsmodell input'!$C$36*1000)</f>
        <v>#VALUE!</v>
      </c>
      <c r="DW103" s="297" t="e">
        <f>$G103*(1-EXP(-'1a. Spredningsmodell input'!$B$43*Mellomregninger!DN103))*(1-EXP(-'1a. Spredningsmodell input'!$B$46*Mellomregninger!DN103))</f>
        <v>#VALUE!</v>
      </c>
      <c r="DX103" s="297"/>
      <c r="DY103" s="297"/>
      <c r="DZ103" s="262">
        <f t="shared" si="65"/>
        <v>100</v>
      </c>
      <c r="EA103" s="298" t="e">
        <f>($S103+$Q103*($O103+$I103*($D103*(1-Stoff!$P103))*(1-EXP(-($F103+Stoff!$L103*365)*DZ103)))*(1-EXP(-($N103+Stoff!$M103*365)*DZ103)))</f>
        <v>#VALUE!</v>
      </c>
      <c r="EB103" s="294" t="e">
        <f t="shared" si="54"/>
        <v>#VALUE!</v>
      </c>
      <c r="EC103" s="296" t="e">
        <f>(EB103/1000000)*('1a. Spredningsmodell input'!$B$49)*'1a. Spredningsmodell input'!$C$35</f>
        <v>#VALUE!</v>
      </c>
      <c r="ED103" s="294" t="e">
        <f t="shared" si="55"/>
        <v>#VALUE!</v>
      </c>
      <c r="EE103" s="290" t="e">
        <f>(ED103/1000000)*('1a. Spredningsmodell input'!$B$49)*'1a. Spredningsmodell input'!$C$35</f>
        <v>#VALUE!</v>
      </c>
      <c r="EF103" s="297" t="e">
        <f>($S103)*EXP(-(Stoff!$N103*365+$U103)*DZ103)+EC103</f>
        <v>#VALUE!</v>
      </c>
      <c r="EG103" s="297" t="e">
        <f>(Stoff!$P103*$S103+EE103)*EXP(-$T103*DZ103)</f>
        <v>#VALUE!</v>
      </c>
      <c r="EH103" s="297" t="e">
        <f>(EF103+EG103)*1000000000/('1a. Spredningsmodell input'!$C$36*1000)</f>
        <v>#VALUE!</v>
      </c>
      <c r="EI103" s="297" t="e">
        <f>$G103*(1-EXP(-'1a. Spredningsmodell input'!$B$43*Mellomregninger!DZ103))*(1-EXP(-'1a. Spredningsmodell input'!$B$46*Mellomregninger!DZ103))</f>
        <v>#VALUE!</v>
      </c>
      <c r="EJ103" s="297"/>
      <c r="EK103" s="297"/>
      <c r="EL103" s="262">
        <f t="shared" si="66"/>
        <v>1.0000000000000001E+25</v>
      </c>
      <c r="EM103" s="294" t="e">
        <f>($S103+$Q103*($O103+$I103*($D103*(1-Stoff!$P103))*(1-EXP(-($F103+Stoff!$L103*365)*EL103)))*(1-EXP(-($N103+Stoff!$M103*365)*EL103)))</f>
        <v>#VALUE!</v>
      </c>
      <c r="EN103" s="296" t="e">
        <f>($S103+$Q103*($O103+$I103*($D103*(1-Stoff!$P103))*(1-EXP(-($F103+Stoff!$L103*365)*(EL103-'1a. Spredningsmodell input'!$C$35))))*(1-EXP(-($N103+Stoff!$M103*365)*(EL103-'1a. Spredningsmodell input'!$C$35))))</f>
        <v>#VALUE!</v>
      </c>
      <c r="EO103" s="294" t="e">
        <f>IF(EL103&lt;'1a. Spredningsmodell input'!$C$35,EM103-($S103)*EXP(-(Stoff!$N103*365+$U103)*EL103),EM103-EN103)</f>
        <v>#VALUE!</v>
      </c>
      <c r="EP103" s="290" t="e">
        <f>((($D103*(Stoff!$P103))*(1-EXP(-'1a. Spredningsmodell input'!$B$43*EL103)))*(1-EXP(-'1a. Spredningsmodell input'!$B$46*EL103)))</f>
        <v>#VALUE!</v>
      </c>
      <c r="EQ103" s="294" t="e">
        <f>((($D103*(Stoff!$P103))*(1-EXP(-'1a. Spredningsmodell input'!$B$43*(EL103-'1a. Spredningsmodell input'!$C$35))))*(1-EXP(-'1a. Spredningsmodell input'!$B$46*(EL103-'1a. Spredningsmodell input'!$C$35))))</f>
        <v>#VALUE!</v>
      </c>
      <c r="ER103" s="290" t="e">
        <f>IF(EL103&lt;'1a. Spredningsmodell input'!$C$35,0,EP103-EQ103)</f>
        <v>#VALUE!</v>
      </c>
      <c r="ES103" s="297" t="e">
        <f>($S103)*EXP(-(Stoff!$N103*365+$U103)*EL103)+EO103</f>
        <v>#VALUE!</v>
      </c>
      <c r="ET103" s="297" t="e">
        <f>(Stoff!$P103*$S103+ER103)*EXP(-$T103*EL103)</f>
        <v>#VALUE!</v>
      </c>
      <c r="EU103" s="297" t="e">
        <f>(ES103+ET103)*1000000000/('1a. Spredningsmodell input'!$C$36*1000)</f>
        <v>#VALUE!</v>
      </c>
      <c r="EV103" s="262" t="e">
        <f t="shared" si="67"/>
        <v>#VALUE!</v>
      </c>
      <c r="EW103" s="299" t="e">
        <f t="shared" si="68"/>
        <v>#VALUE!</v>
      </c>
      <c r="EX103" s="262" t="e">
        <f t="shared" si="69"/>
        <v>#VALUE!</v>
      </c>
    </row>
    <row r="104" spans="1:154" x14ac:dyDescent="0.35">
      <c r="A104" s="301" t="str">
        <f>Stoff!A104</f>
        <v>nystoff 18</v>
      </c>
      <c r="B104" s="34" t="str">
        <f>IF(ISNUMBER('1c. Kons. porevann'!E104),1000*'1c. Kons. porevann'!E104,IF(ISNUMBER('1b. Kons. umettet jord'!E104),1000*'1b. Kons. umettet jord'!E104/C104,""))</f>
        <v/>
      </c>
      <c r="C104" s="244">
        <f>IF(Stoff!B104="uorganisk",Stoff!C104,Stoff!D104*'1a. Spredningsmodell input'!$C$11)</f>
        <v>0</v>
      </c>
      <c r="D104" s="34" t="str">
        <f>IF(ISNUMBER(B104),0.000001*('1b. Kons. umettet jord'!G104*'1a. Spredningsmodell input'!$C$12+B104*0.001*'1a. Spredningsmodell input'!$C$14)*1000*'1a. Spredningsmodell input'!$B$41*'1a. Spredningsmodell input'!$C$18,"")</f>
        <v/>
      </c>
      <c r="E104" s="283">
        <f>C104*'1a. Spredningsmodell input'!$C$12/'1a. Spredningsmodell input'!$C$14+1</f>
        <v>1</v>
      </c>
      <c r="F104" s="284">
        <f>'1a. Spredningsmodell input'!$B$43/E104</f>
        <v>1.4999999999999998</v>
      </c>
      <c r="G104" s="34" t="e">
        <f>Stoff!P104*Mellomregninger!D104</f>
        <v>#VALUE!</v>
      </c>
      <c r="H104" s="283" t="e">
        <f>(D104-G104)*(F104/(F104+Stoff!L104))</f>
        <v>#VALUE!</v>
      </c>
      <c r="I104" s="283">
        <f>F104/(F104+Stoff!L104)</f>
        <v>1</v>
      </c>
      <c r="J104" s="285" t="str">
        <f>IF(B104="","",IF(ISNUMBER('1d. Kons. mettet sone'!E104),'1d. Kons. mettet sone'!E104,IF(ISNUMBER('1e. Kons. grunnvann'!E104),'1e. Kons. grunnvann'!E104*Mellomregninger!K104,0)))</f>
        <v/>
      </c>
      <c r="K104" s="286">
        <f>IF(Stoff!B104="uorganisk",Stoff!C104,Stoff!D104*'1a. Spredningsmodell input'!$C$24)</f>
        <v>0</v>
      </c>
      <c r="L104" s="27" t="e">
        <f>IF(ISNUMBER('1e. Kons. grunnvann'!E104),1000*'1e. Kons. grunnvann'!E104,1000*J104/K104)</f>
        <v>#VALUE!</v>
      </c>
      <c r="M104" s="34">
        <f>K104*'1a. Spredningsmodell input'!$C$25/'1a. Spredningsmodell input'!$C$26+1</f>
        <v>1</v>
      </c>
      <c r="N104" s="284">
        <f>'1a. Spredningsmodell input'!$C$26/M104</f>
        <v>0.4</v>
      </c>
      <c r="O104" s="287" t="e">
        <f>0.000000001*(J104*'1a. Spredningsmodell input'!$C$25+L104)*1000*'1a. Spredningsmodell input'!$B$45</f>
        <v>#VALUE!</v>
      </c>
      <c r="P104" s="287" t="e">
        <f>O104*Stoff!P104</f>
        <v>#VALUE!</v>
      </c>
      <c r="Q104" s="287">
        <f>N104/(N104+Stoff!M104)</f>
        <v>1</v>
      </c>
      <c r="R104" s="288">
        <f>IF(ISNUMBER('1f. Kons. resipient'!E104),'1f. Kons. resipient'!E104,0)</f>
        <v>0</v>
      </c>
      <c r="S104" s="288">
        <f>0.000000001*'1a. Spredningsmodell input'!$C$36*R104*1000</f>
        <v>0</v>
      </c>
      <c r="T104" s="288">
        <f>1/'1a. Spredningsmodell input'!$C$35</f>
        <v>1</v>
      </c>
      <c r="U104" s="288">
        <f>1/'1a. Spredningsmodell input'!$C$35</f>
        <v>1</v>
      </c>
      <c r="V104" s="300" t="e">
        <f>(1/($N104+Stoff!$L104))*(LN(($D104*$I104/($D104*$I104+$J104))*($F104+Stoff!$L104+$N104+Stoff!$M104)/($N104+Stoff!$M104)))</f>
        <v>#VALUE!</v>
      </c>
      <c r="W104" s="290" t="e">
        <f>($D104-Stoff!$P104*$D104)*EXP(-($F104+Stoff!$L104*365)*V104)</f>
        <v>#VALUE!</v>
      </c>
      <c r="X104" s="291" t="e">
        <f>(Stoff!$P104*$D104)*EXP(-'1a. Spredningsmodell input'!$B$43*V104)</f>
        <v>#VALUE!</v>
      </c>
      <c r="Y104" s="290" t="e">
        <f>($D104-Stoff!$P104*$D104-W104)*($F104/($F104+Stoff!$L104*365))</f>
        <v>#VALUE!</v>
      </c>
      <c r="Z104" s="290" t="e">
        <f>(Stoff!$P104*$D104)-X104</f>
        <v>#VALUE!</v>
      </c>
      <c r="AA104" s="290" t="e">
        <f>($O104+Y104)*EXP(-($N104+Stoff!$M104*365)*V104)</f>
        <v>#VALUE!</v>
      </c>
      <c r="AB104" s="290" t="e">
        <f>(Stoff!$P104*$O104+Z104)*EXP(-('1a. Spredningsmodell input'!$B$46)*V104)</f>
        <v>#VALUE!</v>
      </c>
      <c r="AC104" s="292" t="e">
        <f>((AA104+AB104)*1000000000)/('1a. Spredningsmodell input'!$B$45*1000)</f>
        <v>#VALUE!</v>
      </c>
      <c r="AD104" s="294" t="e">
        <f>0.001*AC104/('1a. Spredningsmodell input'!$C$25+'1a. Spredningsmodell input'!$C$26/Mellomregninger!$K104)</f>
        <v>#VALUE!</v>
      </c>
      <c r="AE104" s="294" t="e">
        <f>1000*AD104/$K104+AB104*1000000000/('1a. Spredningsmodell input'!$B$45*1000)</f>
        <v>#VALUE!</v>
      </c>
      <c r="AF104" s="294" t="e">
        <f t="shared" si="35"/>
        <v>#VALUE!</v>
      </c>
      <c r="AG104" s="294" t="e">
        <f>AB104*1000000000/('1a. Spredningsmodell input'!$B$45*1000)</f>
        <v>#VALUE!</v>
      </c>
      <c r="AH104" s="300" t="e">
        <f>(1/('1a. Spredningsmodell input'!$B$46))*(LN(($D104*Stoff!$P104/($D104*Stoff!$P104+$P104*Stoff!$P104))*('1a. Spredningsmodell input'!$B$43+'1a. Spredningsmodell input'!$B$46)/('1a. Spredningsmodell input'!$B$46)))</f>
        <v>#VALUE!</v>
      </c>
      <c r="AI104" s="290" t="e">
        <f>($D104-Stoff!$P104*$D104)*EXP(-($F104+Stoff!$L104*365)*AH104)</f>
        <v>#VALUE!</v>
      </c>
      <c r="AJ104" s="291" t="e">
        <f>(Stoff!$P104*$D104)*EXP(-'1a. Spredningsmodell input'!$B$43*AH104)</f>
        <v>#VALUE!</v>
      </c>
      <c r="AK104" s="290" t="e">
        <f>($D104-Stoff!$P104*$D104-AI104)*($F104/($F104+Stoff!$L104*365))</f>
        <v>#VALUE!</v>
      </c>
      <c r="AL104" s="290" t="e">
        <f>(Stoff!$P104*$D104)-AJ104</f>
        <v>#VALUE!</v>
      </c>
      <c r="AM104" s="290" t="e">
        <f>($O104+AK104)*EXP(-($N104+Stoff!$M104*365)*AH104)</f>
        <v>#VALUE!</v>
      </c>
      <c r="AN104" s="290" t="e">
        <f>(Stoff!$P104*$O104+AL104)*EXP(-('1a. Spredningsmodell input'!$B$46)*AH104)</f>
        <v>#VALUE!</v>
      </c>
      <c r="AO104" s="292" t="e">
        <f>((AM104+AN104)*1000000000)/('1a. Spredningsmodell input'!$B$45*1000)</f>
        <v>#VALUE!</v>
      </c>
      <c r="AP104" s="294" t="e">
        <f>0.001*AO104/('1a. Spredningsmodell input'!$C$25+'1a. Spredningsmodell input'!$C$26/Mellomregninger!$K104)</f>
        <v>#VALUE!</v>
      </c>
      <c r="AQ104" s="294" t="e">
        <f>1000*AP104/$K104+AN104*1000000000/('1a. Spredningsmodell input'!$B$45*1000)</f>
        <v>#VALUE!</v>
      </c>
      <c r="AR104" s="294" t="e">
        <f t="shared" si="36"/>
        <v>#VALUE!</v>
      </c>
      <c r="AS104" s="294" t="e">
        <f>AN104*1000000000/('1a. Spredningsmodell input'!$B$45*1000)</f>
        <v>#VALUE!</v>
      </c>
      <c r="AT104" s="295">
        <f t="shared" si="60"/>
        <v>5</v>
      </c>
      <c r="AU104" s="290" t="e">
        <f>($D104-Stoff!$P104*$D104)*EXP(-($F104+Stoff!$L104*365)*AT104)</f>
        <v>#VALUE!</v>
      </c>
      <c r="AV104" s="291" t="e">
        <f>(Stoff!$P104*$D104)*EXP(-'1a. Spredningsmodell input'!$B$43*AT104)</f>
        <v>#VALUE!</v>
      </c>
      <c r="AW104" s="290" t="e">
        <f>($D104-Stoff!$P104*$D104-AU104)*($F104/($F104+Stoff!$L104*365))</f>
        <v>#VALUE!</v>
      </c>
      <c r="AX104" s="290" t="e">
        <f>(Stoff!$P104*$D104)-AV104</f>
        <v>#VALUE!</v>
      </c>
      <c r="AY104" s="290" t="e">
        <f>($O104+AW104)*EXP(-($N104+Stoff!$M104*365)*AT104)</f>
        <v>#VALUE!</v>
      </c>
      <c r="AZ104" s="290" t="e">
        <f>(Stoff!$P104*$O104+AX104)*EXP(-('1a. Spredningsmodell input'!$B$46)*AT104)</f>
        <v>#VALUE!</v>
      </c>
      <c r="BA104" s="292" t="e">
        <f>((AY104+AZ104)*1000000000)/('1a. Spredningsmodell input'!$B$45*1000)</f>
        <v>#VALUE!</v>
      </c>
      <c r="BB104" s="294" t="e">
        <f>0.001*BA104/('1a. Spredningsmodell input'!$C$25+'1a. Spredningsmodell input'!$C$26/Mellomregninger!$K104)</f>
        <v>#VALUE!</v>
      </c>
      <c r="BC104" s="294" t="e">
        <f>1000*BB104/$K104+AZ104*1000000000/('1a. Spredningsmodell input'!$B$45*1000)</f>
        <v>#VALUE!</v>
      </c>
      <c r="BD104" s="294" t="e">
        <f t="shared" si="38"/>
        <v>#VALUE!</v>
      </c>
      <c r="BE104" s="294" t="e">
        <f>AZ104*1000000000/('1a. Spredningsmodell input'!$B$45*1000)</f>
        <v>#VALUE!</v>
      </c>
      <c r="BF104" s="295">
        <f t="shared" si="61"/>
        <v>20</v>
      </c>
      <c r="BG104" s="290" t="e">
        <f>($D104-Stoff!$P104*$D104)*EXP(-($F104+Stoff!$L104*365)*BF104)</f>
        <v>#VALUE!</v>
      </c>
      <c r="BH104" s="291" t="e">
        <f>(Stoff!$P104*$D104)*EXP(-'1a. Spredningsmodell input'!$B$43*BF104)</f>
        <v>#VALUE!</v>
      </c>
      <c r="BI104" s="290" t="e">
        <f>($D104-Stoff!$P104*$D104-BG104)*($F104/($F104+Stoff!$L104*365))</f>
        <v>#VALUE!</v>
      </c>
      <c r="BJ104" s="290" t="e">
        <f>(Stoff!$P104*$D104)-BH104</f>
        <v>#VALUE!</v>
      </c>
      <c r="BK104" s="290" t="e">
        <f>($O104+BI104)*EXP(-($N104+Stoff!$M104*365)*BF104)</f>
        <v>#VALUE!</v>
      </c>
      <c r="BL104" s="290" t="e">
        <f>(Stoff!$P104*$O104+BJ104)*EXP(-('1a. Spredningsmodell input'!$B$46)*BF104)</f>
        <v>#VALUE!</v>
      </c>
      <c r="BM104" s="292" t="e">
        <f>((BK104+BL104)*1000000000)/('1a. Spredningsmodell input'!$B$45*1000)</f>
        <v>#VALUE!</v>
      </c>
      <c r="BN104" s="294" t="e">
        <f>0.001*BM104/('1a. Spredningsmodell input'!$C$25+'1a. Spredningsmodell input'!$C$26/Mellomregninger!$K104)</f>
        <v>#VALUE!</v>
      </c>
      <c r="BO104" s="294" t="e">
        <f>1000*BN104/$K104+BL104*1000000000/('1a. Spredningsmodell input'!$B$45*1000)</f>
        <v>#VALUE!</v>
      </c>
      <c r="BP104" s="294" t="e">
        <f t="shared" si="40"/>
        <v>#VALUE!</v>
      </c>
      <c r="BQ104" s="294" t="e">
        <f>BL104*1000000000/('1a. Spredningsmodell input'!$B$45*1000)</f>
        <v>#VALUE!</v>
      </c>
      <c r="BR104" s="295">
        <f t="shared" si="62"/>
        <v>100</v>
      </c>
      <c r="BS104" s="290" t="e">
        <f>($D104-Stoff!$P104*$D104)*EXP(-($F104+Stoff!$L104*365)*BR104)</f>
        <v>#VALUE!</v>
      </c>
      <c r="BT104" s="291" t="e">
        <f>(Stoff!$P104*$D104)*EXP(-'1a. Spredningsmodell input'!$B$43*BR104)</f>
        <v>#VALUE!</v>
      </c>
      <c r="BU104" s="290" t="e">
        <f>($D104-Stoff!$P104*$D104-BS104)*($F104/($F104+Stoff!$L104*365))</f>
        <v>#VALUE!</v>
      </c>
      <c r="BV104" s="290" t="e">
        <f>(Stoff!$P104*$D104)-BT104</f>
        <v>#VALUE!</v>
      </c>
      <c r="BW104" s="290" t="e">
        <f>($O104+BU104)*EXP(-($N104+Stoff!$M104*365)*BR104)</f>
        <v>#VALUE!</v>
      </c>
      <c r="BX104" s="290" t="e">
        <f>(Stoff!$P104*$O104+BV104)*EXP(-('1a. Spredningsmodell input'!$B$46)*BR104)</f>
        <v>#VALUE!</v>
      </c>
      <c r="BY104" s="292" t="e">
        <f>((BW104+BX104)*1000000000)/('1a. Spredningsmodell input'!$B$45*1000)</f>
        <v>#VALUE!</v>
      </c>
      <c r="BZ104" s="294" t="e">
        <f>0.001*BY104/('1a. Spredningsmodell input'!$C$25+'1a. Spredningsmodell input'!$C$26/Mellomregninger!$K104)</f>
        <v>#VALUE!</v>
      </c>
      <c r="CA104" s="294" t="e">
        <f>1000*BZ104/$K104+BX104*1000000000/('1a. Spredningsmodell input'!$B$45*1000)</f>
        <v>#VALUE!</v>
      </c>
      <c r="CB104" s="294" t="e">
        <f t="shared" si="42"/>
        <v>#VALUE!</v>
      </c>
      <c r="CC104" s="294" t="e">
        <f>BX104*1000000000/('1a. Spredningsmodell input'!$B$45*1000)</f>
        <v>#VALUE!</v>
      </c>
      <c r="CD104" s="294" t="e">
        <f>V104+'1a. Spredningsmodell input'!$C$35</f>
        <v>#VALUE!</v>
      </c>
      <c r="CE104" s="294" t="e">
        <f>($S104+$Q104*($O104+$I104*($D104*(1-Stoff!$P104))*(1-EXP(-($F104+Stoff!$L104*365)*CD104)))*(1-EXP(-($N104+Stoff!$M104*365)*CD104)))</f>
        <v>#VALUE!</v>
      </c>
      <c r="CF104" s="294" t="e">
        <f t="shared" si="43"/>
        <v>#VALUE!</v>
      </c>
      <c r="CG104" s="296" t="e">
        <f>(CF104/1000000)*'1a. Spredningsmodell input'!$B$49*'1a. Spredningsmodell input'!$C$35</f>
        <v>#VALUE!</v>
      </c>
      <c r="CH104" s="294" t="e">
        <f t="shared" si="44"/>
        <v>#VALUE!</v>
      </c>
      <c r="CI104" s="290" t="e">
        <f>(CH104/1000000)*'1a. Spredningsmodell input'!$B$49*'1a. Spredningsmodell input'!$C$35</f>
        <v>#VALUE!</v>
      </c>
      <c r="CJ104" s="297" t="e">
        <f>($S104)*EXP(-(Stoff!$N104*365+$U104)*CD104)+CG104</f>
        <v>#VALUE!</v>
      </c>
      <c r="CK104" s="297" t="e">
        <f>(Stoff!$P104*$S104+CI104)*EXP(-$T104*CD104)</f>
        <v>#VALUE!</v>
      </c>
      <c r="CL104" s="297" t="e">
        <f>(CJ104+CK104)*1000000000/('1a. Spredningsmodell input'!$C$36*1000)</f>
        <v>#VALUE!</v>
      </c>
      <c r="CM104" s="297" t="e">
        <f>$G104*(1-EXP(-'1a. Spredningsmodell input'!$B$43*Mellomregninger!CD104))*(1-EXP(-'1a. Spredningsmodell input'!$B$46*Mellomregninger!CD104))</f>
        <v>#VALUE!</v>
      </c>
      <c r="CN104" s="297"/>
      <c r="CO104" s="297"/>
      <c r="CP104" s="290">
        <f>IF(ISNUMBER(AH104),AH104+'1a. Spredningsmodell input'!$C$35,'1a. Spredningsmodell input'!$C$35)</f>
        <v>1</v>
      </c>
      <c r="CQ104" s="294" t="e">
        <f>($S104+$Q104*($O104+$I104*($D104*(1-Stoff!$P104))*(1-EXP(-($F104+Stoff!$L104*365)*CP104)))*(1-EXP(-($N104+Stoff!$M104*365)*CP104)))</f>
        <v>#VALUE!</v>
      </c>
      <c r="CR104" s="294" t="e">
        <f t="shared" si="45"/>
        <v>#VALUE!</v>
      </c>
      <c r="CS104" s="296" t="e">
        <f>(CR104/1000000)*('1a. Spredningsmodell input'!$B$49*'1a. Spredningsmodell input'!$C$35)</f>
        <v>#VALUE!</v>
      </c>
      <c r="CT104" s="294" t="e">
        <f t="shared" si="46"/>
        <v>#VALUE!</v>
      </c>
      <c r="CU104" s="290" t="e">
        <f>(CT104/1000000)*('1a. Spredningsmodell input'!$B$49)*'1a. Spredningsmodell input'!$C$35</f>
        <v>#VALUE!</v>
      </c>
      <c r="CV104" s="297" t="e">
        <f>($S104)*EXP(-(Stoff!$N104*365+$U104)*CP104)+CS104</f>
        <v>#VALUE!</v>
      </c>
      <c r="CW104" s="297" t="e">
        <f>(Stoff!$P104*$S104+CU104)*EXP(-$T104*CP104)</f>
        <v>#VALUE!</v>
      </c>
      <c r="CX104" s="297">
        <f>IF(ISERROR(CV104),0,(CV104+CW104)*1000000000/('1a. Spredningsmodell input'!$C$36*1000))</f>
        <v>0</v>
      </c>
      <c r="CY104" s="297" t="e">
        <f>$G104*(1-EXP(-'1a. Spredningsmodell input'!$B$43*Mellomregninger!CP104))*(1-EXP(-'1a. Spredningsmodell input'!$B$46*Mellomregninger!CP104))</f>
        <v>#VALUE!</v>
      </c>
      <c r="CZ104" s="297"/>
      <c r="DA104" s="297"/>
      <c r="DB104" s="262">
        <f t="shared" si="63"/>
        <v>5</v>
      </c>
      <c r="DC104" s="298" t="e">
        <f>($S104+$Q104*($O104+$I104*($D104*(1-Stoff!$P104))*(1-EXP(-($F104+Stoff!$L104*365)*DB104)))*(1-EXP(-($N104+Stoff!$M104*365)*DB104)))</f>
        <v>#VALUE!</v>
      </c>
      <c r="DD104" s="294" t="e">
        <f t="shared" si="48"/>
        <v>#VALUE!</v>
      </c>
      <c r="DE104" s="296" t="e">
        <f>(DD104/1000000)*('1a. Spredningsmodell input'!$B$49)*'1a. Spredningsmodell input'!$C$35</f>
        <v>#VALUE!</v>
      </c>
      <c r="DF104" s="294" t="e">
        <f t="shared" si="49"/>
        <v>#VALUE!</v>
      </c>
      <c r="DG104" s="290" t="e">
        <f>(DF104/1000000)*('1a. Spredningsmodell input'!$B$49)*'1a. Spredningsmodell input'!$C$35</f>
        <v>#VALUE!</v>
      </c>
      <c r="DH104" s="297" t="e">
        <f>($S104)*EXP(-(Stoff!$N104*365+$U104)*DB104)+DE104</f>
        <v>#VALUE!</v>
      </c>
      <c r="DI104" s="297" t="e">
        <f>(Stoff!$P104*$S104+DG104)*EXP(-$T104*DB104)</f>
        <v>#VALUE!</v>
      </c>
      <c r="DJ104" s="297" t="e">
        <f>(DH104+DI104)*1000000000/('1a. Spredningsmodell input'!$C$36*1000)</f>
        <v>#VALUE!</v>
      </c>
      <c r="DK104" s="297" t="e">
        <f>$G104*(1-EXP(-'1a. Spredningsmodell input'!$B$43*Mellomregninger!DB104))*(1-EXP(-'1a. Spredningsmodell input'!$B$46*Mellomregninger!DB104))</f>
        <v>#VALUE!</v>
      </c>
      <c r="DL104" s="297"/>
      <c r="DM104" s="297"/>
      <c r="DN104" s="262">
        <f t="shared" si="64"/>
        <v>20</v>
      </c>
      <c r="DO104" s="298" t="e">
        <f>($S104+$Q104*($O104+$I104*($D104*(1-Stoff!$P104))*(1-EXP(-($F104+Stoff!$L104*365)*DN104)))*(1-EXP(-($N104+Stoff!$M104*365)*DN104)))</f>
        <v>#VALUE!</v>
      </c>
      <c r="DP104" s="294" t="e">
        <f t="shared" si="51"/>
        <v>#VALUE!</v>
      </c>
      <c r="DQ104" s="296" t="e">
        <f>(DP104/1000000)*('1a. Spredningsmodell input'!$B$49)*'1a. Spredningsmodell input'!$C$35</f>
        <v>#VALUE!</v>
      </c>
      <c r="DR104" s="294" t="e">
        <f t="shared" si="52"/>
        <v>#VALUE!</v>
      </c>
      <c r="DS104" s="290" t="e">
        <f>(DR104/1000000)*('1a. Spredningsmodell input'!$B$49)*'1a. Spredningsmodell input'!$C$35</f>
        <v>#VALUE!</v>
      </c>
      <c r="DT104" s="297" t="e">
        <f>($S104)*EXP(-(Stoff!$N104*365+$U104)*DN104)+DQ104</f>
        <v>#VALUE!</v>
      </c>
      <c r="DU104" s="297" t="e">
        <f>(Stoff!$P104*$S104+DS104)*EXP(-$T104*DN104)</f>
        <v>#VALUE!</v>
      </c>
      <c r="DV104" s="297" t="e">
        <f>(DT104+DU104)*1000000000/('1a. Spredningsmodell input'!$C$36*1000)</f>
        <v>#VALUE!</v>
      </c>
      <c r="DW104" s="297" t="e">
        <f>$G104*(1-EXP(-'1a. Spredningsmodell input'!$B$43*Mellomregninger!DN104))*(1-EXP(-'1a. Spredningsmodell input'!$B$46*Mellomregninger!DN104))</f>
        <v>#VALUE!</v>
      </c>
      <c r="DX104" s="297"/>
      <c r="DY104" s="297"/>
      <c r="DZ104" s="262">
        <f t="shared" si="65"/>
        <v>100</v>
      </c>
      <c r="EA104" s="298" t="e">
        <f>($S104+$Q104*($O104+$I104*($D104*(1-Stoff!$P104))*(1-EXP(-($F104+Stoff!$L104*365)*DZ104)))*(1-EXP(-($N104+Stoff!$M104*365)*DZ104)))</f>
        <v>#VALUE!</v>
      </c>
      <c r="EB104" s="294" t="e">
        <f t="shared" si="54"/>
        <v>#VALUE!</v>
      </c>
      <c r="EC104" s="296" t="e">
        <f>(EB104/1000000)*('1a. Spredningsmodell input'!$B$49)*'1a. Spredningsmodell input'!$C$35</f>
        <v>#VALUE!</v>
      </c>
      <c r="ED104" s="294" t="e">
        <f t="shared" si="55"/>
        <v>#VALUE!</v>
      </c>
      <c r="EE104" s="290" t="e">
        <f>(ED104/1000000)*('1a. Spredningsmodell input'!$B$49)*'1a. Spredningsmodell input'!$C$35</f>
        <v>#VALUE!</v>
      </c>
      <c r="EF104" s="297" t="e">
        <f>($S104)*EXP(-(Stoff!$N104*365+$U104)*DZ104)+EC104</f>
        <v>#VALUE!</v>
      </c>
      <c r="EG104" s="297" t="e">
        <f>(Stoff!$P104*$S104+EE104)*EXP(-$T104*DZ104)</f>
        <v>#VALUE!</v>
      </c>
      <c r="EH104" s="297" t="e">
        <f>(EF104+EG104)*1000000000/('1a. Spredningsmodell input'!$C$36*1000)</f>
        <v>#VALUE!</v>
      </c>
      <c r="EI104" s="297" t="e">
        <f>$G104*(1-EXP(-'1a. Spredningsmodell input'!$B$43*Mellomregninger!DZ104))*(1-EXP(-'1a. Spredningsmodell input'!$B$46*Mellomregninger!DZ104))</f>
        <v>#VALUE!</v>
      </c>
      <c r="EJ104" s="297"/>
      <c r="EK104" s="297"/>
      <c r="EL104" s="262">
        <f t="shared" si="66"/>
        <v>1.0000000000000001E+25</v>
      </c>
      <c r="EM104" s="294" t="e">
        <f>($S104+$Q104*($O104+$I104*($D104*(1-Stoff!$P104))*(1-EXP(-($F104+Stoff!$L104*365)*EL104)))*(1-EXP(-($N104+Stoff!$M104*365)*EL104)))</f>
        <v>#VALUE!</v>
      </c>
      <c r="EN104" s="296" t="e">
        <f>($S104+$Q104*($O104+$I104*($D104*(1-Stoff!$P104))*(1-EXP(-($F104+Stoff!$L104*365)*(EL104-'1a. Spredningsmodell input'!$C$35))))*(1-EXP(-($N104+Stoff!$M104*365)*(EL104-'1a. Spredningsmodell input'!$C$35))))</f>
        <v>#VALUE!</v>
      </c>
      <c r="EO104" s="294" t="e">
        <f>IF(EL104&lt;'1a. Spredningsmodell input'!$C$35,EM104-($S104)*EXP(-(Stoff!$N104*365+$U104)*EL104),EM104-EN104)</f>
        <v>#VALUE!</v>
      </c>
      <c r="EP104" s="290" t="e">
        <f>((($D104*(Stoff!$P104))*(1-EXP(-'1a. Spredningsmodell input'!$B$43*EL104)))*(1-EXP(-'1a. Spredningsmodell input'!$B$46*EL104)))</f>
        <v>#VALUE!</v>
      </c>
      <c r="EQ104" s="294" t="e">
        <f>((($D104*(Stoff!$P104))*(1-EXP(-'1a. Spredningsmodell input'!$B$43*(EL104-'1a. Spredningsmodell input'!$C$35))))*(1-EXP(-'1a. Spredningsmodell input'!$B$46*(EL104-'1a. Spredningsmodell input'!$C$35))))</f>
        <v>#VALUE!</v>
      </c>
      <c r="ER104" s="290" t="e">
        <f>IF(EL104&lt;'1a. Spredningsmodell input'!$C$35,0,EP104-EQ104)</f>
        <v>#VALUE!</v>
      </c>
      <c r="ES104" s="297" t="e">
        <f>($S104)*EXP(-(Stoff!$N104*365+$U104)*EL104)+EO104</f>
        <v>#VALUE!</v>
      </c>
      <c r="ET104" s="297" t="e">
        <f>(Stoff!$P104*$S104+ER104)*EXP(-$T104*EL104)</f>
        <v>#VALUE!</v>
      </c>
      <c r="EU104" s="297" t="e">
        <f>(ES104+ET104)*1000000000/('1a. Spredningsmodell input'!$C$36*1000)</f>
        <v>#VALUE!</v>
      </c>
      <c r="EV104" s="262" t="e">
        <f t="shared" si="67"/>
        <v>#VALUE!</v>
      </c>
      <c r="EW104" s="299" t="e">
        <f t="shared" si="68"/>
        <v>#VALUE!</v>
      </c>
      <c r="EX104" s="262" t="e">
        <f t="shared" si="69"/>
        <v>#VALUE!</v>
      </c>
    </row>
    <row r="105" spans="1:154" x14ac:dyDescent="0.35">
      <c r="A105" s="301" t="str">
        <f>Stoff!A105</f>
        <v>nystoff 19</v>
      </c>
      <c r="B105" s="34" t="str">
        <f>IF(ISNUMBER('1c. Kons. porevann'!E105),1000*'1c. Kons. porevann'!E105,IF(ISNUMBER('1b. Kons. umettet jord'!E105),1000*'1b. Kons. umettet jord'!E105/C105,""))</f>
        <v/>
      </c>
      <c r="C105" s="244">
        <f>IF(Stoff!B105="uorganisk",Stoff!C105,Stoff!D105*'1a. Spredningsmodell input'!$C$11)</f>
        <v>0</v>
      </c>
      <c r="D105" s="34" t="str">
        <f>IF(ISNUMBER(B105),0.000001*('1b. Kons. umettet jord'!G105*'1a. Spredningsmodell input'!$C$12+B105*0.001*'1a. Spredningsmodell input'!$C$14)*1000*'1a. Spredningsmodell input'!$B$41*'1a. Spredningsmodell input'!$C$18,"")</f>
        <v/>
      </c>
      <c r="E105" s="283">
        <f>C105*'1a. Spredningsmodell input'!$C$12/'1a. Spredningsmodell input'!$C$14+1</f>
        <v>1</v>
      </c>
      <c r="F105" s="284">
        <f>'1a. Spredningsmodell input'!$B$43/E105</f>
        <v>1.4999999999999998</v>
      </c>
      <c r="G105" s="34" t="e">
        <f>Stoff!P105*Mellomregninger!D105</f>
        <v>#VALUE!</v>
      </c>
      <c r="H105" s="283" t="e">
        <f>(D105-G105)*(F105/(F105+Stoff!L105))</f>
        <v>#VALUE!</v>
      </c>
      <c r="I105" s="283">
        <f>F105/(F105+Stoff!L105)</f>
        <v>1</v>
      </c>
      <c r="J105" s="285" t="str">
        <f>IF(B105="","",IF(ISNUMBER('1d. Kons. mettet sone'!E105),'1d. Kons. mettet sone'!E105,IF(ISNUMBER('1e. Kons. grunnvann'!E105),'1e. Kons. grunnvann'!E105*Mellomregninger!K105,0)))</f>
        <v/>
      </c>
      <c r="K105" s="286">
        <f>IF(Stoff!B105="uorganisk",Stoff!C105,Stoff!D105*'1a. Spredningsmodell input'!$C$24)</f>
        <v>0</v>
      </c>
      <c r="L105" s="27" t="e">
        <f>IF(ISNUMBER('1e. Kons. grunnvann'!E105),1000*'1e. Kons. grunnvann'!E105,1000*J105/K105)</f>
        <v>#VALUE!</v>
      </c>
      <c r="M105" s="34">
        <f>K105*'1a. Spredningsmodell input'!$C$25/'1a. Spredningsmodell input'!$C$26+1</f>
        <v>1</v>
      </c>
      <c r="N105" s="284">
        <f>'1a. Spredningsmodell input'!$C$26/M105</f>
        <v>0.4</v>
      </c>
      <c r="O105" s="287" t="e">
        <f>0.000000001*(J105*'1a. Spredningsmodell input'!$C$25+L105)*1000*'1a. Spredningsmodell input'!$B$45</f>
        <v>#VALUE!</v>
      </c>
      <c r="P105" s="287" t="e">
        <f>O105*Stoff!P105</f>
        <v>#VALUE!</v>
      </c>
      <c r="Q105" s="287">
        <f>N105/(N105+Stoff!M105)</f>
        <v>1</v>
      </c>
      <c r="R105" s="288">
        <f>IF(ISNUMBER('1f. Kons. resipient'!E105),'1f. Kons. resipient'!E105,0)</f>
        <v>0</v>
      </c>
      <c r="S105" s="288">
        <f>0.000000001*'1a. Spredningsmodell input'!$C$36*R105*1000</f>
        <v>0</v>
      </c>
      <c r="T105" s="288">
        <f>1/'1a. Spredningsmodell input'!$C$35</f>
        <v>1</v>
      </c>
      <c r="U105" s="288">
        <f>1/'1a. Spredningsmodell input'!$C$35</f>
        <v>1</v>
      </c>
      <c r="V105" s="300" t="e">
        <f>(1/($N105+Stoff!$L105))*(LN(($D105*$I105/($D105*$I105+$J105))*($F105+Stoff!$L105+$N105+Stoff!$M105)/($N105+Stoff!$M105)))</f>
        <v>#VALUE!</v>
      </c>
      <c r="W105" s="290" t="e">
        <f>($D105-Stoff!$P105*$D105)*EXP(-($F105+Stoff!$L105*365)*V105)</f>
        <v>#VALUE!</v>
      </c>
      <c r="X105" s="291" t="e">
        <f>(Stoff!$P105*$D105)*EXP(-'1a. Spredningsmodell input'!$B$43*V105)</f>
        <v>#VALUE!</v>
      </c>
      <c r="Y105" s="290" t="e">
        <f>($D105-Stoff!$P105*$D105-W105)*($F105/($F105+Stoff!$L105*365))</f>
        <v>#VALUE!</v>
      </c>
      <c r="Z105" s="290" t="e">
        <f>(Stoff!$P105*$D105)-X105</f>
        <v>#VALUE!</v>
      </c>
      <c r="AA105" s="290" t="e">
        <f>($O105+Y105)*EXP(-($N105+Stoff!$M105*365)*V105)</f>
        <v>#VALUE!</v>
      </c>
      <c r="AB105" s="290" t="e">
        <f>(Stoff!$P105*$O105+Z105)*EXP(-('1a. Spredningsmodell input'!$B$46)*V105)</f>
        <v>#VALUE!</v>
      </c>
      <c r="AC105" s="292" t="e">
        <f>((AA105+AB105)*1000000000)/('1a. Spredningsmodell input'!$B$45*1000)</f>
        <v>#VALUE!</v>
      </c>
      <c r="AD105" s="294" t="e">
        <f>0.001*AC105/('1a. Spredningsmodell input'!$C$25+'1a. Spredningsmodell input'!$C$26/Mellomregninger!$K105)</f>
        <v>#VALUE!</v>
      </c>
      <c r="AE105" s="294" t="e">
        <f>1000*AD105/$K105+AB105*1000000000/('1a. Spredningsmodell input'!$B$45*1000)</f>
        <v>#VALUE!</v>
      </c>
      <c r="AF105" s="294" t="e">
        <f t="shared" si="35"/>
        <v>#VALUE!</v>
      </c>
      <c r="AG105" s="294" t="e">
        <f>AB105*1000000000/('1a. Spredningsmodell input'!$B$45*1000)</f>
        <v>#VALUE!</v>
      </c>
      <c r="AH105" s="300" t="e">
        <f>(1/('1a. Spredningsmodell input'!$B$46))*(LN(($D105*Stoff!$P105/($D105*Stoff!$P105+$P105*Stoff!$P105))*('1a. Spredningsmodell input'!$B$43+'1a. Spredningsmodell input'!$B$46)/('1a. Spredningsmodell input'!$B$46)))</f>
        <v>#VALUE!</v>
      </c>
      <c r="AI105" s="290" t="e">
        <f>($D105-Stoff!$P105*$D105)*EXP(-($F105+Stoff!$L105*365)*AH105)</f>
        <v>#VALUE!</v>
      </c>
      <c r="AJ105" s="291" t="e">
        <f>(Stoff!$P105*$D105)*EXP(-'1a. Spredningsmodell input'!$B$43*AH105)</f>
        <v>#VALUE!</v>
      </c>
      <c r="AK105" s="290" t="e">
        <f>($D105-Stoff!$P105*$D105-AI105)*($F105/($F105+Stoff!$L105*365))</f>
        <v>#VALUE!</v>
      </c>
      <c r="AL105" s="290" t="e">
        <f>(Stoff!$P105*$D105)-AJ105</f>
        <v>#VALUE!</v>
      </c>
      <c r="AM105" s="290" t="e">
        <f>($O105+AK105)*EXP(-($N105+Stoff!$M105*365)*AH105)</f>
        <v>#VALUE!</v>
      </c>
      <c r="AN105" s="290" t="e">
        <f>(Stoff!$P105*$O105+AL105)*EXP(-('1a. Spredningsmodell input'!$B$46)*AH105)</f>
        <v>#VALUE!</v>
      </c>
      <c r="AO105" s="292" t="e">
        <f>((AM105+AN105)*1000000000)/('1a. Spredningsmodell input'!$B$45*1000)</f>
        <v>#VALUE!</v>
      </c>
      <c r="AP105" s="294" t="e">
        <f>0.001*AO105/('1a. Spredningsmodell input'!$C$25+'1a. Spredningsmodell input'!$C$26/Mellomregninger!$K105)</f>
        <v>#VALUE!</v>
      </c>
      <c r="AQ105" s="294" t="e">
        <f>1000*AP105/$K105+AN105*1000000000/('1a. Spredningsmodell input'!$B$45*1000)</f>
        <v>#VALUE!</v>
      </c>
      <c r="AR105" s="294" t="e">
        <f t="shared" si="36"/>
        <v>#VALUE!</v>
      </c>
      <c r="AS105" s="294" t="e">
        <f>AN105*1000000000/('1a. Spredningsmodell input'!$B$45*1000)</f>
        <v>#VALUE!</v>
      </c>
      <c r="AT105" s="295">
        <f t="shared" si="60"/>
        <v>5</v>
      </c>
      <c r="AU105" s="290" t="e">
        <f>($D105-Stoff!$P105*$D105)*EXP(-($F105+Stoff!$L105*365)*AT105)</f>
        <v>#VALUE!</v>
      </c>
      <c r="AV105" s="291" t="e">
        <f>(Stoff!$P105*$D105)*EXP(-'1a. Spredningsmodell input'!$B$43*AT105)</f>
        <v>#VALUE!</v>
      </c>
      <c r="AW105" s="290" t="e">
        <f>($D105-Stoff!$P105*$D105-AU105)*($F105/($F105+Stoff!$L105*365))</f>
        <v>#VALUE!</v>
      </c>
      <c r="AX105" s="290" t="e">
        <f>(Stoff!$P105*$D105)-AV105</f>
        <v>#VALUE!</v>
      </c>
      <c r="AY105" s="290" t="e">
        <f>($O105+AW105)*EXP(-($N105+Stoff!$M105*365)*AT105)</f>
        <v>#VALUE!</v>
      </c>
      <c r="AZ105" s="290" t="e">
        <f>(Stoff!$P105*$O105+AX105)*EXP(-('1a. Spredningsmodell input'!$B$46)*AT105)</f>
        <v>#VALUE!</v>
      </c>
      <c r="BA105" s="292" t="e">
        <f>((AY105+AZ105)*1000000000)/('1a. Spredningsmodell input'!$B$45*1000)</f>
        <v>#VALUE!</v>
      </c>
      <c r="BB105" s="294" t="e">
        <f>0.001*BA105/('1a. Spredningsmodell input'!$C$25+'1a. Spredningsmodell input'!$C$26/Mellomregninger!$K105)</f>
        <v>#VALUE!</v>
      </c>
      <c r="BC105" s="294" t="e">
        <f>1000*BB105/$K105+AZ105*1000000000/('1a. Spredningsmodell input'!$B$45*1000)</f>
        <v>#VALUE!</v>
      </c>
      <c r="BD105" s="294" t="e">
        <f t="shared" si="38"/>
        <v>#VALUE!</v>
      </c>
      <c r="BE105" s="294" t="e">
        <f>AZ105*1000000000/('1a. Spredningsmodell input'!$B$45*1000)</f>
        <v>#VALUE!</v>
      </c>
      <c r="BF105" s="295">
        <f t="shared" si="61"/>
        <v>20</v>
      </c>
      <c r="BG105" s="290" t="e">
        <f>($D105-Stoff!$P105*$D105)*EXP(-($F105+Stoff!$L105*365)*BF105)</f>
        <v>#VALUE!</v>
      </c>
      <c r="BH105" s="291" t="e">
        <f>(Stoff!$P105*$D105)*EXP(-'1a. Spredningsmodell input'!$B$43*BF105)</f>
        <v>#VALUE!</v>
      </c>
      <c r="BI105" s="290" t="e">
        <f>($D105-Stoff!$P105*$D105-BG105)*($F105/($F105+Stoff!$L105*365))</f>
        <v>#VALUE!</v>
      </c>
      <c r="BJ105" s="290" t="e">
        <f>(Stoff!$P105*$D105)-BH105</f>
        <v>#VALUE!</v>
      </c>
      <c r="BK105" s="290" t="e">
        <f>($O105+BI105)*EXP(-($N105+Stoff!$M105*365)*BF105)</f>
        <v>#VALUE!</v>
      </c>
      <c r="BL105" s="290" t="e">
        <f>(Stoff!$P105*$O105+BJ105)*EXP(-('1a. Spredningsmodell input'!$B$46)*BF105)</f>
        <v>#VALUE!</v>
      </c>
      <c r="BM105" s="292" t="e">
        <f>((BK105+BL105)*1000000000)/('1a. Spredningsmodell input'!$B$45*1000)</f>
        <v>#VALUE!</v>
      </c>
      <c r="BN105" s="294" t="e">
        <f>0.001*BM105/('1a. Spredningsmodell input'!$C$25+'1a. Spredningsmodell input'!$C$26/Mellomregninger!$K105)</f>
        <v>#VALUE!</v>
      </c>
      <c r="BO105" s="294" t="e">
        <f>1000*BN105/$K105+BL105*1000000000/('1a. Spredningsmodell input'!$B$45*1000)</f>
        <v>#VALUE!</v>
      </c>
      <c r="BP105" s="294" t="e">
        <f t="shared" si="40"/>
        <v>#VALUE!</v>
      </c>
      <c r="BQ105" s="294" t="e">
        <f>BL105*1000000000/('1a. Spredningsmodell input'!$B$45*1000)</f>
        <v>#VALUE!</v>
      </c>
      <c r="BR105" s="295">
        <f t="shared" si="62"/>
        <v>100</v>
      </c>
      <c r="BS105" s="290" t="e">
        <f>($D105-Stoff!$P105*$D105)*EXP(-($F105+Stoff!$L105*365)*BR105)</f>
        <v>#VALUE!</v>
      </c>
      <c r="BT105" s="291" t="e">
        <f>(Stoff!$P105*$D105)*EXP(-'1a. Spredningsmodell input'!$B$43*BR105)</f>
        <v>#VALUE!</v>
      </c>
      <c r="BU105" s="290" t="e">
        <f>($D105-Stoff!$P105*$D105-BS105)*($F105/($F105+Stoff!$L105*365))</f>
        <v>#VALUE!</v>
      </c>
      <c r="BV105" s="290" t="e">
        <f>(Stoff!$P105*$D105)-BT105</f>
        <v>#VALUE!</v>
      </c>
      <c r="BW105" s="290" t="e">
        <f>($O105+BU105)*EXP(-($N105+Stoff!$M105*365)*BR105)</f>
        <v>#VALUE!</v>
      </c>
      <c r="BX105" s="290" t="e">
        <f>(Stoff!$P105*$O105+BV105)*EXP(-('1a. Spredningsmodell input'!$B$46)*BR105)</f>
        <v>#VALUE!</v>
      </c>
      <c r="BY105" s="292" t="e">
        <f>((BW105+BX105)*1000000000)/('1a. Spredningsmodell input'!$B$45*1000)</f>
        <v>#VALUE!</v>
      </c>
      <c r="BZ105" s="294" t="e">
        <f>0.001*BY105/('1a. Spredningsmodell input'!$C$25+'1a. Spredningsmodell input'!$C$26/Mellomregninger!$K105)</f>
        <v>#VALUE!</v>
      </c>
      <c r="CA105" s="294" t="e">
        <f>1000*BZ105/$K105+BX105*1000000000/('1a. Spredningsmodell input'!$B$45*1000)</f>
        <v>#VALUE!</v>
      </c>
      <c r="CB105" s="294" t="e">
        <f t="shared" si="42"/>
        <v>#VALUE!</v>
      </c>
      <c r="CC105" s="294" t="e">
        <f>BX105*1000000000/('1a. Spredningsmodell input'!$B$45*1000)</f>
        <v>#VALUE!</v>
      </c>
      <c r="CD105" s="294" t="e">
        <f>V105+'1a. Spredningsmodell input'!$C$35</f>
        <v>#VALUE!</v>
      </c>
      <c r="CE105" s="294" t="e">
        <f>($S105+$Q105*($O105+$I105*($D105*(1-Stoff!$P105))*(1-EXP(-($F105+Stoff!$L105*365)*CD105)))*(1-EXP(-($N105+Stoff!$M105*365)*CD105)))</f>
        <v>#VALUE!</v>
      </c>
      <c r="CF105" s="294" t="e">
        <f t="shared" si="43"/>
        <v>#VALUE!</v>
      </c>
      <c r="CG105" s="296" t="e">
        <f>(CF105/1000000)*'1a. Spredningsmodell input'!$B$49*'1a. Spredningsmodell input'!$C$35</f>
        <v>#VALUE!</v>
      </c>
      <c r="CH105" s="294" t="e">
        <f t="shared" si="44"/>
        <v>#VALUE!</v>
      </c>
      <c r="CI105" s="290" t="e">
        <f>(CH105/1000000)*'1a. Spredningsmodell input'!$B$49*'1a. Spredningsmodell input'!$C$35</f>
        <v>#VALUE!</v>
      </c>
      <c r="CJ105" s="297" t="e">
        <f>($S105)*EXP(-(Stoff!$N105*365+$U105)*CD105)+CG105</f>
        <v>#VALUE!</v>
      </c>
      <c r="CK105" s="297" t="e">
        <f>(Stoff!$P105*$S105+CI105)*EXP(-$T105*CD105)</f>
        <v>#VALUE!</v>
      </c>
      <c r="CL105" s="297" t="e">
        <f>(CJ105+CK105)*1000000000/('1a. Spredningsmodell input'!$C$36*1000)</f>
        <v>#VALUE!</v>
      </c>
      <c r="CM105" s="297" t="e">
        <f>$G105*(1-EXP(-'1a. Spredningsmodell input'!$B$43*Mellomregninger!CD105))*(1-EXP(-'1a. Spredningsmodell input'!$B$46*Mellomregninger!CD105))</f>
        <v>#VALUE!</v>
      </c>
      <c r="CN105" s="297"/>
      <c r="CO105" s="297"/>
      <c r="CP105" s="290">
        <f>IF(ISNUMBER(AH105),AH105+'1a. Spredningsmodell input'!$C$35,'1a. Spredningsmodell input'!$C$35)</f>
        <v>1</v>
      </c>
      <c r="CQ105" s="294" t="e">
        <f>($S105+$Q105*($O105+$I105*($D105*(1-Stoff!$P105))*(1-EXP(-($F105+Stoff!$L105*365)*CP105)))*(1-EXP(-($N105+Stoff!$M105*365)*CP105)))</f>
        <v>#VALUE!</v>
      </c>
      <c r="CR105" s="294" t="e">
        <f t="shared" si="45"/>
        <v>#VALUE!</v>
      </c>
      <c r="CS105" s="296" t="e">
        <f>(CR105/1000000)*('1a. Spredningsmodell input'!$B$49*'1a. Spredningsmodell input'!$C$35)</f>
        <v>#VALUE!</v>
      </c>
      <c r="CT105" s="294" t="e">
        <f t="shared" si="46"/>
        <v>#VALUE!</v>
      </c>
      <c r="CU105" s="290" t="e">
        <f>(CT105/1000000)*('1a. Spredningsmodell input'!$B$49)*'1a. Spredningsmodell input'!$C$35</f>
        <v>#VALUE!</v>
      </c>
      <c r="CV105" s="297" t="e">
        <f>($S105)*EXP(-(Stoff!$N105*365+$U105)*CP105)+CS105</f>
        <v>#VALUE!</v>
      </c>
      <c r="CW105" s="297" t="e">
        <f>(Stoff!$P105*$S105+CU105)*EXP(-$T105*CP105)</f>
        <v>#VALUE!</v>
      </c>
      <c r="CX105" s="297">
        <f>IF(ISERROR(CV105),0,(CV105+CW105)*1000000000/('1a. Spredningsmodell input'!$C$36*1000))</f>
        <v>0</v>
      </c>
      <c r="CY105" s="297" t="e">
        <f>$G105*(1-EXP(-'1a. Spredningsmodell input'!$B$43*Mellomregninger!CP105))*(1-EXP(-'1a. Spredningsmodell input'!$B$46*Mellomregninger!CP105))</f>
        <v>#VALUE!</v>
      </c>
      <c r="CZ105" s="297"/>
      <c r="DA105" s="297"/>
      <c r="DB105" s="262">
        <f t="shared" si="63"/>
        <v>5</v>
      </c>
      <c r="DC105" s="298" t="e">
        <f>($S105+$Q105*($O105+$I105*($D105*(1-Stoff!$P105))*(1-EXP(-($F105+Stoff!$L105*365)*DB105)))*(1-EXP(-($N105+Stoff!$M105*365)*DB105)))</f>
        <v>#VALUE!</v>
      </c>
      <c r="DD105" s="294" t="e">
        <f t="shared" si="48"/>
        <v>#VALUE!</v>
      </c>
      <c r="DE105" s="296" t="e">
        <f>(DD105/1000000)*('1a. Spredningsmodell input'!$B$49)*'1a. Spredningsmodell input'!$C$35</f>
        <v>#VALUE!</v>
      </c>
      <c r="DF105" s="294" t="e">
        <f t="shared" si="49"/>
        <v>#VALUE!</v>
      </c>
      <c r="DG105" s="290" t="e">
        <f>(DF105/1000000)*('1a. Spredningsmodell input'!$B$49)*'1a. Spredningsmodell input'!$C$35</f>
        <v>#VALUE!</v>
      </c>
      <c r="DH105" s="297" t="e">
        <f>($S105)*EXP(-(Stoff!$N105*365+$U105)*DB105)+DE105</f>
        <v>#VALUE!</v>
      </c>
      <c r="DI105" s="297" t="e">
        <f>(Stoff!$P105*$S105+DG105)*EXP(-$T105*DB105)</f>
        <v>#VALUE!</v>
      </c>
      <c r="DJ105" s="297" t="e">
        <f>(DH105+DI105)*1000000000/('1a. Spredningsmodell input'!$C$36*1000)</f>
        <v>#VALUE!</v>
      </c>
      <c r="DK105" s="297" t="e">
        <f>$G105*(1-EXP(-'1a. Spredningsmodell input'!$B$43*Mellomregninger!DB105))*(1-EXP(-'1a. Spredningsmodell input'!$B$46*Mellomregninger!DB105))</f>
        <v>#VALUE!</v>
      </c>
      <c r="DL105" s="297"/>
      <c r="DM105" s="297"/>
      <c r="DN105" s="262">
        <f t="shared" si="64"/>
        <v>20</v>
      </c>
      <c r="DO105" s="298" t="e">
        <f>($S105+$Q105*($O105+$I105*($D105*(1-Stoff!$P105))*(1-EXP(-($F105+Stoff!$L105*365)*DN105)))*(1-EXP(-($N105+Stoff!$M105*365)*DN105)))</f>
        <v>#VALUE!</v>
      </c>
      <c r="DP105" s="294" t="e">
        <f t="shared" si="51"/>
        <v>#VALUE!</v>
      </c>
      <c r="DQ105" s="296" t="e">
        <f>(DP105/1000000)*('1a. Spredningsmodell input'!$B$49)*'1a. Spredningsmodell input'!$C$35</f>
        <v>#VALUE!</v>
      </c>
      <c r="DR105" s="294" t="e">
        <f t="shared" si="52"/>
        <v>#VALUE!</v>
      </c>
      <c r="DS105" s="290" t="e">
        <f>(DR105/1000000)*('1a. Spredningsmodell input'!$B$49)*'1a. Spredningsmodell input'!$C$35</f>
        <v>#VALUE!</v>
      </c>
      <c r="DT105" s="297" t="e">
        <f>($S105)*EXP(-(Stoff!$N105*365+$U105)*DN105)+DQ105</f>
        <v>#VALUE!</v>
      </c>
      <c r="DU105" s="297" t="e">
        <f>(Stoff!$P105*$S105+DS105)*EXP(-$T105*DN105)</f>
        <v>#VALUE!</v>
      </c>
      <c r="DV105" s="297" t="e">
        <f>(DT105+DU105)*1000000000/('1a. Spredningsmodell input'!$C$36*1000)</f>
        <v>#VALUE!</v>
      </c>
      <c r="DW105" s="297" t="e">
        <f>$G105*(1-EXP(-'1a. Spredningsmodell input'!$B$43*Mellomregninger!DN105))*(1-EXP(-'1a. Spredningsmodell input'!$B$46*Mellomregninger!DN105))</f>
        <v>#VALUE!</v>
      </c>
      <c r="DX105" s="297"/>
      <c r="DY105" s="297"/>
      <c r="DZ105" s="262">
        <f t="shared" si="65"/>
        <v>100</v>
      </c>
      <c r="EA105" s="298" t="e">
        <f>($S105+$Q105*($O105+$I105*($D105*(1-Stoff!$P105))*(1-EXP(-($F105+Stoff!$L105*365)*DZ105)))*(1-EXP(-($N105+Stoff!$M105*365)*DZ105)))</f>
        <v>#VALUE!</v>
      </c>
      <c r="EB105" s="294" t="e">
        <f t="shared" si="54"/>
        <v>#VALUE!</v>
      </c>
      <c r="EC105" s="296" t="e">
        <f>(EB105/1000000)*('1a. Spredningsmodell input'!$B$49)*'1a. Spredningsmodell input'!$C$35</f>
        <v>#VALUE!</v>
      </c>
      <c r="ED105" s="294" t="e">
        <f t="shared" si="55"/>
        <v>#VALUE!</v>
      </c>
      <c r="EE105" s="290" t="e">
        <f>(ED105/1000000)*('1a. Spredningsmodell input'!$B$49)*'1a. Spredningsmodell input'!$C$35</f>
        <v>#VALUE!</v>
      </c>
      <c r="EF105" s="297" t="e">
        <f>($S105)*EXP(-(Stoff!$N105*365+$U105)*DZ105)+EC105</f>
        <v>#VALUE!</v>
      </c>
      <c r="EG105" s="297" t="e">
        <f>(Stoff!$P105*$S105+EE105)*EXP(-$T105*DZ105)</f>
        <v>#VALUE!</v>
      </c>
      <c r="EH105" s="297" t="e">
        <f>(EF105+EG105)*1000000000/('1a. Spredningsmodell input'!$C$36*1000)</f>
        <v>#VALUE!</v>
      </c>
      <c r="EI105" s="297" t="e">
        <f>$G105*(1-EXP(-'1a. Spredningsmodell input'!$B$43*Mellomregninger!DZ105))*(1-EXP(-'1a. Spredningsmodell input'!$B$46*Mellomregninger!DZ105))</f>
        <v>#VALUE!</v>
      </c>
      <c r="EJ105" s="297"/>
      <c r="EK105" s="297"/>
      <c r="EL105" s="262">
        <f t="shared" si="66"/>
        <v>1.0000000000000001E+25</v>
      </c>
      <c r="EM105" s="294" t="e">
        <f>($S105+$Q105*($O105+$I105*($D105*(1-Stoff!$P105))*(1-EXP(-($F105+Stoff!$L105*365)*EL105)))*(1-EXP(-($N105+Stoff!$M105*365)*EL105)))</f>
        <v>#VALUE!</v>
      </c>
      <c r="EN105" s="296" t="e">
        <f>($S105+$Q105*($O105+$I105*($D105*(1-Stoff!$P105))*(1-EXP(-($F105+Stoff!$L105*365)*(EL105-'1a. Spredningsmodell input'!$C$35))))*(1-EXP(-($N105+Stoff!$M105*365)*(EL105-'1a. Spredningsmodell input'!$C$35))))</f>
        <v>#VALUE!</v>
      </c>
      <c r="EO105" s="294" t="e">
        <f>IF(EL105&lt;'1a. Spredningsmodell input'!$C$35,EM105-($S105)*EXP(-(Stoff!$N105*365+$U105)*EL105),EM105-EN105)</f>
        <v>#VALUE!</v>
      </c>
      <c r="EP105" s="290" t="e">
        <f>((($D105*(Stoff!$P105))*(1-EXP(-'1a. Spredningsmodell input'!$B$43*EL105)))*(1-EXP(-'1a. Spredningsmodell input'!$B$46*EL105)))</f>
        <v>#VALUE!</v>
      </c>
      <c r="EQ105" s="294" t="e">
        <f>((($D105*(Stoff!$P105))*(1-EXP(-'1a. Spredningsmodell input'!$B$43*(EL105-'1a. Spredningsmodell input'!$C$35))))*(1-EXP(-'1a. Spredningsmodell input'!$B$46*(EL105-'1a. Spredningsmodell input'!$C$35))))</f>
        <v>#VALUE!</v>
      </c>
      <c r="ER105" s="290" t="e">
        <f>IF(EL105&lt;'1a. Spredningsmodell input'!$C$35,0,EP105-EQ105)</f>
        <v>#VALUE!</v>
      </c>
      <c r="ES105" s="297" t="e">
        <f>($S105)*EXP(-(Stoff!$N105*365+$U105)*EL105)+EO105</f>
        <v>#VALUE!</v>
      </c>
      <c r="ET105" s="297" t="e">
        <f>(Stoff!$P105*$S105+ER105)*EXP(-$T105*EL105)</f>
        <v>#VALUE!</v>
      </c>
      <c r="EU105" s="297" t="e">
        <f>(ES105+ET105)*1000000000/('1a. Spredningsmodell input'!$C$36*1000)</f>
        <v>#VALUE!</v>
      </c>
      <c r="EV105" s="262" t="e">
        <f t="shared" si="67"/>
        <v>#VALUE!</v>
      </c>
      <c r="EW105" s="299" t="e">
        <f t="shared" si="68"/>
        <v>#VALUE!</v>
      </c>
      <c r="EX105" s="262" t="e">
        <f t="shared" si="69"/>
        <v>#VALUE!</v>
      </c>
    </row>
    <row r="106" spans="1:154" x14ac:dyDescent="0.35">
      <c r="A106" s="301" t="str">
        <f>Stoff!A106</f>
        <v>nystoff 20</v>
      </c>
      <c r="B106" s="34" t="str">
        <f>IF(ISNUMBER('1c. Kons. porevann'!E106),1000*'1c. Kons. porevann'!E106,IF(ISNUMBER('1b. Kons. umettet jord'!E106),1000*'1b. Kons. umettet jord'!E106/C106,""))</f>
        <v/>
      </c>
      <c r="C106" s="244">
        <f>IF(Stoff!B106="uorganisk",Stoff!C106,Stoff!D106*'1a. Spredningsmodell input'!$C$11)</f>
        <v>0</v>
      </c>
      <c r="D106" s="34" t="str">
        <f>IF(ISNUMBER(B106),0.000001*('1b. Kons. umettet jord'!G106*'1a. Spredningsmodell input'!$C$12+B106*0.001*'1a. Spredningsmodell input'!$C$14)*1000*'1a. Spredningsmodell input'!$B$41*'1a. Spredningsmodell input'!$C$18,"")</f>
        <v/>
      </c>
      <c r="E106" s="283">
        <f>C106*'1a. Spredningsmodell input'!$C$12/'1a. Spredningsmodell input'!$C$14+1</f>
        <v>1</v>
      </c>
      <c r="F106" s="284">
        <f>'1a. Spredningsmodell input'!$B$43/E106</f>
        <v>1.4999999999999998</v>
      </c>
      <c r="G106" s="34" t="e">
        <f>Stoff!P106*Mellomregninger!D106</f>
        <v>#VALUE!</v>
      </c>
      <c r="H106" s="283" t="e">
        <f>(D106-G106)*(F106/(F106+Stoff!L106))</f>
        <v>#VALUE!</v>
      </c>
      <c r="I106" s="283">
        <f>F106/(F106+Stoff!L106)</f>
        <v>1</v>
      </c>
      <c r="J106" s="285" t="str">
        <f>IF(B106="","",IF(ISNUMBER('1d. Kons. mettet sone'!E106),'1d. Kons. mettet sone'!E106,IF(ISNUMBER('1e. Kons. grunnvann'!E106),'1e. Kons. grunnvann'!E106*Mellomregninger!K106,0)))</f>
        <v/>
      </c>
      <c r="K106" s="286">
        <f>IF(Stoff!B106="uorganisk",Stoff!C106,Stoff!D106*'1a. Spredningsmodell input'!$C$24)</f>
        <v>0</v>
      </c>
      <c r="L106" s="27" t="e">
        <f>IF(ISNUMBER('1e. Kons. grunnvann'!E106),1000*'1e. Kons. grunnvann'!E106,1000*J106/K106)</f>
        <v>#VALUE!</v>
      </c>
      <c r="M106" s="34">
        <f>K106*'1a. Spredningsmodell input'!$C$25/'1a. Spredningsmodell input'!$C$26+1</f>
        <v>1</v>
      </c>
      <c r="N106" s="284">
        <f>'1a. Spredningsmodell input'!$C$26/M106</f>
        <v>0.4</v>
      </c>
      <c r="O106" s="287" t="e">
        <f>0.000000001*(J106*'1a. Spredningsmodell input'!$C$25+L106)*1000*'1a. Spredningsmodell input'!$B$45</f>
        <v>#VALUE!</v>
      </c>
      <c r="P106" s="287" t="e">
        <f>O106*Stoff!P106</f>
        <v>#VALUE!</v>
      </c>
      <c r="Q106" s="287">
        <f>N106/(N106+Stoff!M106)</f>
        <v>1</v>
      </c>
      <c r="R106" s="288">
        <f>IF(ISNUMBER('1f. Kons. resipient'!E106),'1f. Kons. resipient'!E106,0)</f>
        <v>0</v>
      </c>
      <c r="S106" s="288">
        <f>0.000000001*'1a. Spredningsmodell input'!$C$36*R106*1000</f>
        <v>0</v>
      </c>
      <c r="T106" s="288">
        <f>1/'1a. Spredningsmodell input'!$C$35</f>
        <v>1</v>
      </c>
      <c r="U106" s="288">
        <f>1/'1a. Spredningsmodell input'!$C$35</f>
        <v>1</v>
      </c>
      <c r="V106" s="300" t="e">
        <f>(1/($N106+Stoff!$L106))*(LN(($D106*$I106/($D106*$I106+$J106))*($F106+Stoff!$L106+$N106+Stoff!$M106)/($N106+Stoff!$M106)))</f>
        <v>#VALUE!</v>
      </c>
      <c r="W106" s="290" t="e">
        <f>($D106-Stoff!$P106*$D106)*EXP(-($F106+Stoff!$L106*365)*V106)</f>
        <v>#VALUE!</v>
      </c>
      <c r="X106" s="291" t="e">
        <f>(Stoff!$P106*$D106)*EXP(-'1a. Spredningsmodell input'!$B$43*V106)</f>
        <v>#VALUE!</v>
      </c>
      <c r="Y106" s="290" t="e">
        <f>($D106-Stoff!$P106*$D106-W106)*($F106/($F106+Stoff!$L106*365))</f>
        <v>#VALUE!</v>
      </c>
      <c r="Z106" s="290" t="e">
        <f>(Stoff!$P106*$D106)-X106</f>
        <v>#VALUE!</v>
      </c>
      <c r="AA106" s="290" t="e">
        <f>($O106+Y106)*EXP(-($N106+Stoff!$M106*365)*V106)</f>
        <v>#VALUE!</v>
      </c>
      <c r="AB106" s="290" t="e">
        <f>(Stoff!$P106*$O106+Z106)*EXP(-('1a. Spredningsmodell input'!$B$46)*V106)</f>
        <v>#VALUE!</v>
      </c>
      <c r="AC106" s="292" t="e">
        <f>((AA106+AB106)*1000000000)/('1a. Spredningsmodell input'!$B$45*1000)</f>
        <v>#VALUE!</v>
      </c>
      <c r="AD106" s="294" t="e">
        <f>0.001*AC106/('1a. Spredningsmodell input'!$C$25+'1a. Spredningsmodell input'!$C$26/Mellomregninger!$K106)</f>
        <v>#VALUE!</v>
      </c>
      <c r="AE106" s="294" t="e">
        <f>1000*AD106/$K106+AB106*1000000000/('1a. Spredningsmodell input'!$B$45*1000)</f>
        <v>#VALUE!</v>
      </c>
      <c r="AF106" s="294" t="e">
        <f t="shared" si="35"/>
        <v>#VALUE!</v>
      </c>
      <c r="AG106" s="294" t="e">
        <f>AB106*1000000000/('1a. Spredningsmodell input'!$B$45*1000)</f>
        <v>#VALUE!</v>
      </c>
      <c r="AH106" s="300" t="e">
        <f>(1/('1a. Spredningsmodell input'!$B$46))*(LN(($D106*Stoff!$P106/($D106*Stoff!$P106+$P106*Stoff!$P106))*('1a. Spredningsmodell input'!$B$43+'1a. Spredningsmodell input'!$B$46)/('1a. Spredningsmodell input'!$B$46)))</f>
        <v>#VALUE!</v>
      </c>
      <c r="AI106" s="290" t="e">
        <f>($D106-Stoff!$P106*$D106)*EXP(-($F106+Stoff!$L106*365)*AH106)</f>
        <v>#VALUE!</v>
      </c>
      <c r="AJ106" s="291" t="e">
        <f>(Stoff!$P106*$D106)*EXP(-'1a. Spredningsmodell input'!$B$43*AH106)</f>
        <v>#VALUE!</v>
      </c>
      <c r="AK106" s="290" t="e">
        <f>($D106-Stoff!$P106*$D106-AI106)*($F106/($F106+Stoff!$L106*365))</f>
        <v>#VALUE!</v>
      </c>
      <c r="AL106" s="290" t="e">
        <f>(Stoff!$P106*$D106)-AJ106</f>
        <v>#VALUE!</v>
      </c>
      <c r="AM106" s="290" t="e">
        <f>($O106+AK106)*EXP(-($N106+Stoff!$M106*365)*AH106)</f>
        <v>#VALUE!</v>
      </c>
      <c r="AN106" s="290" t="e">
        <f>(Stoff!$P106*$O106+AL106)*EXP(-('1a. Spredningsmodell input'!$B$46)*AH106)</f>
        <v>#VALUE!</v>
      </c>
      <c r="AO106" s="292" t="e">
        <f>((AM106+AN106)*1000000000)/('1a. Spredningsmodell input'!$B$45*1000)</f>
        <v>#VALUE!</v>
      </c>
      <c r="AP106" s="294" t="e">
        <f>0.001*AO106/('1a. Spredningsmodell input'!$C$25+'1a. Spredningsmodell input'!$C$26/Mellomregninger!$K106)</f>
        <v>#VALUE!</v>
      </c>
      <c r="AQ106" s="294" t="e">
        <f>1000*AP106/$K106+AN106*1000000000/('1a. Spredningsmodell input'!$B$45*1000)</f>
        <v>#VALUE!</v>
      </c>
      <c r="AR106" s="294" t="e">
        <f t="shared" si="36"/>
        <v>#VALUE!</v>
      </c>
      <c r="AS106" s="294" t="e">
        <f>AN106*1000000000/('1a. Spredningsmodell input'!$B$45*1000)</f>
        <v>#VALUE!</v>
      </c>
      <c r="AT106" s="295">
        <f t="shared" si="60"/>
        <v>5</v>
      </c>
      <c r="AU106" s="290" t="e">
        <f>($D106-Stoff!$P106*$D106)*EXP(-($F106+Stoff!$L106*365)*AT106)</f>
        <v>#VALUE!</v>
      </c>
      <c r="AV106" s="291" t="e">
        <f>(Stoff!$P106*$D106)*EXP(-'1a. Spredningsmodell input'!$B$43*AT106)</f>
        <v>#VALUE!</v>
      </c>
      <c r="AW106" s="290" t="e">
        <f>($D106-Stoff!$P106*$D106-AU106)*($F106/($F106+Stoff!$L106*365))</f>
        <v>#VALUE!</v>
      </c>
      <c r="AX106" s="290" t="e">
        <f>(Stoff!$P106*$D106)-AV106</f>
        <v>#VALUE!</v>
      </c>
      <c r="AY106" s="290" t="e">
        <f>($O106+AW106)*EXP(-($N106+Stoff!$M106*365)*AT106)</f>
        <v>#VALUE!</v>
      </c>
      <c r="AZ106" s="290" t="e">
        <f>(Stoff!$P106*$O106+AX106)*EXP(-('1a. Spredningsmodell input'!$B$46)*AT106)</f>
        <v>#VALUE!</v>
      </c>
      <c r="BA106" s="292" t="e">
        <f>((AY106+AZ106)*1000000000)/('1a. Spredningsmodell input'!$B$45*1000)</f>
        <v>#VALUE!</v>
      </c>
      <c r="BB106" s="294" t="e">
        <f>0.001*BA106/('1a. Spredningsmodell input'!$C$25+'1a. Spredningsmodell input'!$C$26/Mellomregninger!$K106)</f>
        <v>#VALUE!</v>
      </c>
      <c r="BC106" s="294" t="e">
        <f>1000*BB106/$K106+AZ106*1000000000/('1a. Spredningsmodell input'!$B$45*1000)</f>
        <v>#VALUE!</v>
      </c>
      <c r="BD106" s="294" t="e">
        <f t="shared" si="38"/>
        <v>#VALUE!</v>
      </c>
      <c r="BE106" s="294" t="e">
        <f>AZ106*1000000000/('1a. Spredningsmodell input'!$B$45*1000)</f>
        <v>#VALUE!</v>
      </c>
      <c r="BF106" s="295">
        <f t="shared" si="61"/>
        <v>20</v>
      </c>
      <c r="BG106" s="290" t="e">
        <f>($D106-Stoff!$P106*$D106)*EXP(-($F106+Stoff!$L106*365)*BF106)</f>
        <v>#VALUE!</v>
      </c>
      <c r="BH106" s="291" t="e">
        <f>(Stoff!$P106*$D106)*EXP(-'1a. Spredningsmodell input'!$B$43*BF106)</f>
        <v>#VALUE!</v>
      </c>
      <c r="BI106" s="290" t="e">
        <f>($D106-Stoff!$P106*$D106-BG106)*($F106/($F106+Stoff!$L106*365))</f>
        <v>#VALUE!</v>
      </c>
      <c r="BJ106" s="290" t="e">
        <f>(Stoff!$P106*$D106)-BH106</f>
        <v>#VALUE!</v>
      </c>
      <c r="BK106" s="290" t="e">
        <f>($O106+BI106)*EXP(-($N106+Stoff!$M106*365)*BF106)</f>
        <v>#VALUE!</v>
      </c>
      <c r="BL106" s="290" t="e">
        <f>(Stoff!$P106*$O106+BJ106)*EXP(-('1a. Spredningsmodell input'!$B$46)*BF106)</f>
        <v>#VALUE!</v>
      </c>
      <c r="BM106" s="292" t="e">
        <f>((BK106+BL106)*1000000000)/('1a. Spredningsmodell input'!$B$45*1000)</f>
        <v>#VALUE!</v>
      </c>
      <c r="BN106" s="294" t="e">
        <f>0.001*BM106/('1a. Spredningsmodell input'!$C$25+'1a. Spredningsmodell input'!$C$26/Mellomregninger!$K106)</f>
        <v>#VALUE!</v>
      </c>
      <c r="BO106" s="294" t="e">
        <f>1000*BN106/$K106+BL106*1000000000/('1a. Spredningsmodell input'!$B$45*1000)</f>
        <v>#VALUE!</v>
      </c>
      <c r="BP106" s="294" t="e">
        <f t="shared" si="40"/>
        <v>#VALUE!</v>
      </c>
      <c r="BQ106" s="294" t="e">
        <f>BL106*1000000000/('1a. Spredningsmodell input'!$B$45*1000)</f>
        <v>#VALUE!</v>
      </c>
      <c r="BR106" s="295">
        <f t="shared" si="62"/>
        <v>100</v>
      </c>
      <c r="BS106" s="290" t="e">
        <f>($D106-Stoff!$P106*$D106)*EXP(-($F106+Stoff!$L106*365)*BR106)</f>
        <v>#VALUE!</v>
      </c>
      <c r="BT106" s="291" t="e">
        <f>(Stoff!$P106*$D106)*EXP(-'1a. Spredningsmodell input'!$B$43*BR106)</f>
        <v>#VALUE!</v>
      </c>
      <c r="BU106" s="290" t="e">
        <f>($D106-Stoff!$P106*$D106-BS106)*($F106/($F106+Stoff!$L106*365))</f>
        <v>#VALUE!</v>
      </c>
      <c r="BV106" s="290" t="e">
        <f>(Stoff!$P106*$D106)-BT106</f>
        <v>#VALUE!</v>
      </c>
      <c r="BW106" s="290" t="e">
        <f>($O106+BU106)*EXP(-($N106+Stoff!$M106*365)*BR106)</f>
        <v>#VALUE!</v>
      </c>
      <c r="BX106" s="290" t="e">
        <f>(Stoff!$P106*$O106+BV106)*EXP(-('1a. Spredningsmodell input'!$B$46)*BR106)</f>
        <v>#VALUE!</v>
      </c>
      <c r="BY106" s="292" t="e">
        <f>((BW106+BX106)*1000000000)/('1a. Spredningsmodell input'!$B$45*1000)</f>
        <v>#VALUE!</v>
      </c>
      <c r="BZ106" s="294" t="e">
        <f>0.001*BY106/('1a. Spredningsmodell input'!$C$25+'1a. Spredningsmodell input'!$C$26/Mellomregninger!$K106)</f>
        <v>#VALUE!</v>
      </c>
      <c r="CA106" s="294" t="e">
        <f>1000*BZ106/$K106+BX106*1000000000/('1a. Spredningsmodell input'!$B$45*1000)</f>
        <v>#VALUE!</v>
      </c>
      <c r="CB106" s="294" t="e">
        <f t="shared" si="42"/>
        <v>#VALUE!</v>
      </c>
      <c r="CC106" s="294" t="e">
        <f>BX106*1000000000/('1a. Spredningsmodell input'!$B$45*1000)</f>
        <v>#VALUE!</v>
      </c>
      <c r="CD106" s="294" t="e">
        <f>V106+'1a. Spredningsmodell input'!$C$35</f>
        <v>#VALUE!</v>
      </c>
      <c r="CE106" s="294" t="e">
        <f>($S106+$Q106*($O106+$I106*($D106*(1-Stoff!$P106))*(1-EXP(-($F106+Stoff!$L106*365)*CD106)))*(1-EXP(-($N106+Stoff!$M106*365)*CD106)))</f>
        <v>#VALUE!</v>
      </c>
      <c r="CF106" s="294" t="e">
        <f t="shared" si="43"/>
        <v>#VALUE!</v>
      </c>
      <c r="CG106" s="296" t="e">
        <f>(CF106/1000000)*'1a. Spredningsmodell input'!$B$49*'1a. Spredningsmodell input'!$C$35</f>
        <v>#VALUE!</v>
      </c>
      <c r="CH106" s="294" t="e">
        <f t="shared" si="44"/>
        <v>#VALUE!</v>
      </c>
      <c r="CI106" s="290" t="e">
        <f>(CH106/1000000)*'1a. Spredningsmodell input'!$B$49*'1a. Spredningsmodell input'!$C$35</f>
        <v>#VALUE!</v>
      </c>
      <c r="CJ106" s="297" t="e">
        <f>($S106)*EXP(-(Stoff!$N106*365+$U106)*CD106)+CG106</f>
        <v>#VALUE!</v>
      </c>
      <c r="CK106" s="297" t="e">
        <f>(Stoff!$P106*$S106+CI106)*EXP(-$T106*CD106)</f>
        <v>#VALUE!</v>
      </c>
      <c r="CL106" s="297" t="e">
        <f>(CJ106+CK106)*1000000000/('1a. Spredningsmodell input'!$C$36*1000)</f>
        <v>#VALUE!</v>
      </c>
      <c r="CM106" s="297" t="e">
        <f>$G106*(1-EXP(-'1a. Spredningsmodell input'!$B$43*Mellomregninger!CD106))*(1-EXP(-'1a. Spredningsmodell input'!$B$46*Mellomregninger!CD106))</f>
        <v>#VALUE!</v>
      </c>
      <c r="CN106" s="297"/>
      <c r="CO106" s="297"/>
      <c r="CP106" s="290">
        <f>IF(ISNUMBER(AH106),AH106+'1a. Spredningsmodell input'!$C$35,'1a. Spredningsmodell input'!$C$35)</f>
        <v>1</v>
      </c>
      <c r="CQ106" s="294" t="e">
        <f>($S106+$Q106*($O106+$I106*($D106*(1-Stoff!$P106))*(1-EXP(-($F106+Stoff!$L106*365)*CP106)))*(1-EXP(-($N106+Stoff!$M106*365)*CP106)))</f>
        <v>#VALUE!</v>
      </c>
      <c r="CR106" s="294" t="e">
        <f t="shared" si="45"/>
        <v>#VALUE!</v>
      </c>
      <c r="CS106" s="296" t="e">
        <f>(CR106/1000000)*('1a. Spredningsmodell input'!$B$49*'1a. Spredningsmodell input'!$C$35)</f>
        <v>#VALUE!</v>
      </c>
      <c r="CT106" s="294" t="e">
        <f t="shared" si="46"/>
        <v>#VALUE!</v>
      </c>
      <c r="CU106" s="290" t="e">
        <f>(CT106/1000000)*('1a. Spredningsmodell input'!$B$49)*'1a. Spredningsmodell input'!$C$35</f>
        <v>#VALUE!</v>
      </c>
      <c r="CV106" s="297" t="e">
        <f>($S106)*EXP(-(Stoff!$N106*365+$U106)*CP106)+CS106</f>
        <v>#VALUE!</v>
      </c>
      <c r="CW106" s="297" t="e">
        <f>(Stoff!$P106*$S106+CU106)*EXP(-$T106*CP106)</f>
        <v>#VALUE!</v>
      </c>
      <c r="CX106" s="297">
        <f>IF(ISERROR(CV106),0,(CV106+CW106)*1000000000/('1a. Spredningsmodell input'!$C$36*1000))</f>
        <v>0</v>
      </c>
      <c r="CY106" s="297" t="e">
        <f>$G106*(1-EXP(-'1a. Spredningsmodell input'!$B$43*Mellomregninger!CP106))*(1-EXP(-'1a. Spredningsmodell input'!$B$46*Mellomregninger!CP106))</f>
        <v>#VALUE!</v>
      </c>
      <c r="CZ106" s="297"/>
      <c r="DA106" s="297"/>
      <c r="DB106" s="262">
        <f t="shared" si="63"/>
        <v>5</v>
      </c>
      <c r="DC106" s="298" t="e">
        <f>($S106+$Q106*($O106+$I106*($D106*(1-Stoff!$P106))*(1-EXP(-($F106+Stoff!$L106*365)*DB106)))*(1-EXP(-($N106+Stoff!$M106*365)*DB106)))</f>
        <v>#VALUE!</v>
      </c>
      <c r="DD106" s="294" t="e">
        <f t="shared" si="48"/>
        <v>#VALUE!</v>
      </c>
      <c r="DE106" s="296" t="e">
        <f>(DD106/1000000)*('1a. Spredningsmodell input'!$B$49)*'1a. Spredningsmodell input'!$C$35</f>
        <v>#VALUE!</v>
      </c>
      <c r="DF106" s="294" t="e">
        <f t="shared" si="49"/>
        <v>#VALUE!</v>
      </c>
      <c r="DG106" s="290" t="e">
        <f>(DF106/1000000)*('1a. Spredningsmodell input'!$B$49)*'1a. Spredningsmodell input'!$C$35</f>
        <v>#VALUE!</v>
      </c>
      <c r="DH106" s="297" t="e">
        <f>($S106)*EXP(-(Stoff!$N106*365+$U106)*DB106)+DE106</f>
        <v>#VALUE!</v>
      </c>
      <c r="DI106" s="297" t="e">
        <f>(Stoff!$P106*$S106+DG106)*EXP(-$T106*DB106)</f>
        <v>#VALUE!</v>
      </c>
      <c r="DJ106" s="297" t="e">
        <f>(DH106+DI106)*1000000000/('1a. Spredningsmodell input'!$C$36*1000)</f>
        <v>#VALUE!</v>
      </c>
      <c r="DK106" s="297" t="e">
        <f>$G106*(1-EXP(-'1a. Spredningsmodell input'!$B$43*Mellomregninger!DB106))*(1-EXP(-'1a. Spredningsmodell input'!$B$46*Mellomregninger!DB106))</f>
        <v>#VALUE!</v>
      </c>
      <c r="DL106" s="297"/>
      <c r="DM106" s="297"/>
      <c r="DN106" s="262">
        <f t="shared" si="64"/>
        <v>20</v>
      </c>
      <c r="DO106" s="298" t="e">
        <f>($S106+$Q106*($O106+$I106*($D106*(1-Stoff!$P106))*(1-EXP(-($F106+Stoff!$L106*365)*DN106)))*(1-EXP(-($N106+Stoff!$M106*365)*DN106)))</f>
        <v>#VALUE!</v>
      </c>
      <c r="DP106" s="294" t="e">
        <f t="shared" si="51"/>
        <v>#VALUE!</v>
      </c>
      <c r="DQ106" s="296" t="e">
        <f>(DP106/1000000)*('1a. Spredningsmodell input'!$B$49)*'1a. Spredningsmodell input'!$C$35</f>
        <v>#VALUE!</v>
      </c>
      <c r="DR106" s="294" t="e">
        <f t="shared" si="52"/>
        <v>#VALUE!</v>
      </c>
      <c r="DS106" s="290" t="e">
        <f>(DR106/1000000)*('1a. Spredningsmodell input'!$B$49)*'1a. Spredningsmodell input'!$C$35</f>
        <v>#VALUE!</v>
      </c>
      <c r="DT106" s="297" t="e">
        <f>($S106)*EXP(-(Stoff!$N106*365+$U106)*DN106)+DQ106</f>
        <v>#VALUE!</v>
      </c>
      <c r="DU106" s="297" t="e">
        <f>(Stoff!$P106*$S106+DS106)*EXP(-$T106*DN106)</f>
        <v>#VALUE!</v>
      </c>
      <c r="DV106" s="297" t="e">
        <f>(DT106+DU106)*1000000000/('1a. Spredningsmodell input'!$C$36*1000)</f>
        <v>#VALUE!</v>
      </c>
      <c r="DW106" s="297" t="e">
        <f>$G106*(1-EXP(-'1a. Spredningsmodell input'!$B$43*Mellomregninger!DN106))*(1-EXP(-'1a. Spredningsmodell input'!$B$46*Mellomregninger!DN106))</f>
        <v>#VALUE!</v>
      </c>
      <c r="DX106" s="297"/>
      <c r="DY106" s="297"/>
      <c r="DZ106" s="262">
        <f t="shared" si="65"/>
        <v>100</v>
      </c>
      <c r="EA106" s="298" t="e">
        <f>($S106+$Q106*($O106+$I106*($D106*(1-Stoff!$P106))*(1-EXP(-($F106+Stoff!$L106*365)*DZ106)))*(1-EXP(-($N106+Stoff!$M106*365)*DZ106)))</f>
        <v>#VALUE!</v>
      </c>
      <c r="EB106" s="294" t="e">
        <f t="shared" si="54"/>
        <v>#VALUE!</v>
      </c>
      <c r="EC106" s="296" t="e">
        <f>(EB106/1000000)*('1a. Spredningsmodell input'!$B$49)*'1a. Spredningsmodell input'!$C$35</f>
        <v>#VALUE!</v>
      </c>
      <c r="ED106" s="294" t="e">
        <f t="shared" si="55"/>
        <v>#VALUE!</v>
      </c>
      <c r="EE106" s="290" t="e">
        <f>(ED106/1000000)*('1a. Spredningsmodell input'!$B$49)*'1a. Spredningsmodell input'!$C$35</f>
        <v>#VALUE!</v>
      </c>
      <c r="EF106" s="297" t="e">
        <f>($S106)*EXP(-(Stoff!$N106*365+$U106)*DZ106)+EC106</f>
        <v>#VALUE!</v>
      </c>
      <c r="EG106" s="297" t="e">
        <f>(Stoff!$P106*$S106+EE106)*EXP(-$T106*DZ106)</f>
        <v>#VALUE!</v>
      </c>
      <c r="EH106" s="297" t="e">
        <f>(EF106+EG106)*1000000000/('1a. Spredningsmodell input'!$C$36*1000)</f>
        <v>#VALUE!</v>
      </c>
      <c r="EI106" s="297" t="e">
        <f>$G106*(1-EXP(-'1a. Spredningsmodell input'!$B$43*Mellomregninger!DZ106))*(1-EXP(-'1a. Spredningsmodell input'!$B$46*Mellomregninger!DZ106))</f>
        <v>#VALUE!</v>
      </c>
      <c r="EJ106" s="297"/>
      <c r="EK106" s="297"/>
      <c r="EL106" s="262">
        <f t="shared" si="66"/>
        <v>1.0000000000000001E+25</v>
      </c>
      <c r="EM106" s="294" t="e">
        <f>($S106+$Q106*($O106+$I106*($D106*(1-Stoff!$P106))*(1-EXP(-($F106+Stoff!$L106*365)*EL106)))*(1-EXP(-($N106+Stoff!$M106*365)*EL106)))</f>
        <v>#VALUE!</v>
      </c>
      <c r="EN106" s="296" t="e">
        <f>($S106+$Q106*($O106+$I106*($D106*(1-Stoff!$P106))*(1-EXP(-($F106+Stoff!$L106*365)*(EL106-'1a. Spredningsmodell input'!$C$35))))*(1-EXP(-($N106+Stoff!$M106*365)*(EL106-'1a. Spredningsmodell input'!$C$35))))</f>
        <v>#VALUE!</v>
      </c>
      <c r="EO106" s="294" t="e">
        <f>IF(EL106&lt;'1a. Spredningsmodell input'!$C$35,EM106-($S106)*EXP(-(Stoff!$N106*365+$U106)*EL106),EM106-EN106)</f>
        <v>#VALUE!</v>
      </c>
      <c r="EP106" s="290" t="e">
        <f>((($D106*(Stoff!$P106))*(1-EXP(-'1a. Spredningsmodell input'!$B$43*EL106)))*(1-EXP(-'1a. Spredningsmodell input'!$B$46*EL106)))</f>
        <v>#VALUE!</v>
      </c>
      <c r="EQ106" s="294" t="e">
        <f>((($D106*(Stoff!$P106))*(1-EXP(-'1a. Spredningsmodell input'!$B$43*(EL106-'1a. Spredningsmodell input'!$C$35))))*(1-EXP(-'1a. Spredningsmodell input'!$B$46*(EL106-'1a. Spredningsmodell input'!$C$35))))</f>
        <v>#VALUE!</v>
      </c>
      <c r="ER106" s="290" t="e">
        <f>IF(EL106&lt;'1a. Spredningsmodell input'!$C$35,0,EP106-EQ106)</f>
        <v>#VALUE!</v>
      </c>
      <c r="ES106" s="297" t="e">
        <f>($S106)*EXP(-(Stoff!$N106*365+$U106)*EL106)+EO106</f>
        <v>#VALUE!</v>
      </c>
      <c r="ET106" s="297" t="e">
        <f>(Stoff!$P106*$S106+ER106)*EXP(-$T106*EL106)</f>
        <v>#VALUE!</v>
      </c>
      <c r="EU106" s="297" t="e">
        <f>(ES106+ET106)*1000000000/('1a. Spredningsmodell input'!$C$36*1000)</f>
        <v>#VALUE!</v>
      </c>
      <c r="EV106" s="262" t="e">
        <f t="shared" si="67"/>
        <v>#VALUE!</v>
      </c>
      <c r="EW106" s="299" t="e">
        <f t="shared" si="68"/>
        <v>#VALUE!</v>
      </c>
      <c r="EX106" s="262" t="e">
        <f t="shared" si="69"/>
        <v>#VALUE!</v>
      </c>
    </row>
    <row r="107" spans="1:154" x14ac:dyDescent="0.35">
      <c r="A107" s="301" t="str">
        <f>Stoff!A107</f>
        <v>nystoff 21</v>
      </c>
      <c r="B107" s="34" t="str">
        <f>IF(ISNUMBER('1c. Kons. porevann'!E107),1000*'1c. Kons. porevann'!E107,IF(ISNUMBER('1b. Kons. umettet jord'!E107),1000*'1b. Kons. umettet jord'!E107/C107,""))</f>
        <v/>
      </c>
      <c r="C107" s="244">
        <f>IF(Stoff!B107="uorganisk",Stoff!C107,Stoff!D107*'1a. Spredningsmodell input'!$C$11)</f>
        <v>0</v>
      </c>
      <c r="D107" s="34" t="str">
        <f>IF(ISNUMBER(B107),0.000001*('1b. Kons. umettet jord'!G107*'1a. Spredningsmodell input'!$C$12+B107*0.001*'1a. Spredningsmodell input'!$C$14)*1000*'1a. Spredningsmodell input'!$B$41*'1a. Spredningsmodell input'!$C$18,"")</f>
        <v/>
      </c>
      <c r="E107" s="283">
        <f>C107*'1a. Spredningsmodell input'!$C$12/'1a. Spredningsmodell input'!$C$14+1</f>
        <v>1</v>
      </c>
      <c r="F107" s="284">
        <f>'1a. Spredningsmodell input'!$B$43/E107</f>
        <v>1.4999999999999998</v>
      </c>
      <c r="G107" s="34" t="e">
        <f>Stoff!P107*Mellomregninger!D107</f>
        <v>#VALUE!</v>
      </c>
      <c r="H107" s="283" t="e">
        <f>(D107-G107)*(F107/(F107+Stoff!L107))</f>
        <v>#VALUE!</v>
      </c>
      <c r="I107" s="283">
        <f>F107/(F107+Stoff!L107)</f>
        <v>1</v>
      </c>
      <c r="J107" s="285" t="str">
        <f>IF(B107="","",IF(ISNUMBER('1d. Kons. mettet sone'!E107),'1d. Kons. mettet sone'!E107,IF(ISNUMBER('1e. Kons. grunnvann'!E107),'1e. Kons. grunnvann'!E107*Mellomregninger!K107,0)))</f>
        <v/>
      </c>
      <c r="K107" s="286">
        <f>IF(Stoff!B107="uorganisk",Stoff!C107,Stoff!D107*'1a. Spredningsmodell input'!$C$24)</f>
        <v>0</v>
      </c>
      <c r="L107" s="27" t="e">
        <f>IF(ISNUMBER('1e. Kons. grunnvann'!E107),1000*'1e. Kons. grunnvann'!E107,1000*J107/K107)</f>
        <v>#VALUE!</v>
      </c>
      <c r="M107" s="34">
        <f>K107*'1a. Spredningsmodell input'!$C$25/'1a. Spredningsmodell input'!$C$26+1</f>
        <v>1</v>
      </c>
      <c r="N107" s="284">
        <f>'1a. Spredningsmodell input'!$C$26/M107</f>
        <v>0.4</v>
      </c>
      <c r="O107" s="287" t="e">
        <f>0.000000001*(J107*'1a. Spredningsmodell input'!$C$25+L107)*1000*'1a. Spredningsmodell input'!$B$45</f>
        <v>#VALUE!</v>
      </c>
      <c r="P107" s="287" t="e">
        <f>O107*Stoff!P107</f>
        <v>#VALUE!</v>
      </c>
      <c r="Q107" s="287">
        <f>N107/(N107+Stoff!M107)</f>
        <v>1</v>
      </c>
      <c r="R107" s="288">
        <f>IF(ISNUMBER('1f. Kons. resipient'!E107),'1f. Kons. resipient'!E107,0)</f>
        <v>0</v>
      </c>
      <c r="S107" s="288">
        <f>0.000000001*'1a. Spredningsmodell input'!$C$36*R107*1000</f>
        <v>0</v>
      </c>
      <c r="T107" s="288">
        <f>1/'1a. Spredningsmodell input'!$C$35</f>
        <v>1</v>
      </c>
      <c r="U107" s="288">
        <f>1/'1a. Spredningsmodell input'!$C$35</f>
        <v>1</v>
      </c>
      <c r="V107" s="300" t="e">
        <f>(1/($N107+Stoff!$L107))*(LN(($D107*$I107/($D107*$I107+$J107))*($F107+Stoff!$L107+$N107+Stoff!$M107)/($N107+Stoff!$M107)))</f>
        <v>#VALUE!</v>
      </c>
      <c r="W107" s="290" t="e">
        <f>($D107-Stoff!$P107*$D107)*EXP(-($F107+Stoff!$L107*365)*V107)</f>
        <v>#VALUE!</v>
      </c>
      <c r="X107" s="291" t="e">
        <f>(Stoff!$P107*$D107)*EXP(-'1a. Spredningsmodell input'!$B$43*V107)</f>
        <v>#VALUE!</v>
      </c>
      <c r="Y107" s="290" t="e">
        <f>($D107-Stoff!$P107*$D107-W107)*($F107/($F107+Stoff!$L107*365))</f>
        <v>#VALUE!</v>
      </c>
      <c r="Z107" s="290" t="e">
        <f>(Stoff!$P107*$D107)-X107</f>
        <v>#VALUE!</v>
      </c>
      <c r="AA107" s="290" t="e">
        <f>($O107+Y107)*EXP(-($N107+Stoff!$M107*365)*V107)</f>
        <v>#VALUE!</v>
      </c>
      <c r="AB107" s="290" t="e">
        <f>(Stoff!$P107*$O107+Z107)*EXP(-('1a. Spredningsmodell input'!$B$46)*V107)</f>
        <v>#VALUE!</v>
      </c>
      <c r="AC107" s="292" t="e">
        <f>((AA107+AB107)*1000000000)/('1a. Spredningsmodell input'!$B$45*1000)</f>
        <v>#VALUE!</v>
      </c>
      <c r="AD107" s="294" t="e">
        <f>0.001*AC107/('1a. Spredningsmodell input'!$C$25+'1a. Spredningsmodell input'!$C$26/Mellomregninger!$K107)</f>
        <v>#VALUE!</v>
      </c>
      <c r="AE107" s="294" t="e">
        <f>1000*AD107/$K107+AB107*1000000000/('1a. Spredningsmodell input'!$B$45*1000)</f>
        <v>#VALUE!</v>
      </c>
      <c r="AF107" s="294" t="e">
        <f t="shared" si="35"/>
        <v>#VALUE!</v>
      </c>
      <c r="AG107" s="294" t="e">
        <f>AB107*1000000000/('1a. Spredningsmodell input'!$B$45*1000)</f>
        <v>#VALUE!</v>
      </c>
      <c r="AH107" s="300" t="e">
        <f>(1/('1a. Spredningsmodell input'!$B$46))*(LN(($D107*Stoff!$P107/($D107*Stoff!$P107+$P107*Stoff!$P107))*('1a. Spredningsmodell input'!$B$43+'1a. Spredningsmodell input'!$B$46)/('1a. Spredningsmodell input'!$B$46)))</f>
        <v>#VALUE!</v>
      </c>
      <c r="AI107" s="290" t="e">
        <f>($D107-Stoff!$P107*$D107)*EXP(-($F107+Stoff!$L107*365)*AH107)</f>
        <v>#VALUE!</v>
      </c>
      <c r="AJ107" s="291" t="e">
        <f>(Stoff!$P107*$D107)*EXP(-'1a. Spredningsmodell input'!$B$43*AH107)</f>
        <v>#VALUE!</v>
      </c>
      <c r="AK107" s="290" t="e">
        <f>($D107-Stoff!$P107*$D107-AI107)*($F107/($F107+Stoff!$L107*365))</f>
        <v>#VALUE!</v>
      </c>
      <c r="AL107" s="290" t="e">
        <f>(Stoff!$P107*$D107)-AJ107</f>
        <v>#VALUE!</v>
      </c>
      <c r="AM107" s="290" t="e">
        <f>($O107+AK107)*EXP(-($N107+Stoff!$M107*365)*AH107)</f>
        <v>#VALUE!</v>
      </c>
      <c r="AN107" s="290" t="e">
        <f>(Stoff!$P107*$O107+AL107)*EXP(-('1a. Spredningsmodell input'!$B$46)*AH107)</f>
        <v>#VALUE!</v>
      </c>
      <c r="AO107" s="292" t="e">
        <f>((AM107+AN107)*1000000000)/('1a. Spredningsmodell input'!$B$45*1000)</f>
        <v>#VALUE!</v>
      </c>
      <c r="AP107" s="294" t="e">
        <f>0.001*AO107/('1a. Spredningsmodell input'!$C$25+'1a. Spredningsmodell input'!$C$26/Mellomregninger!$K107)</f>
        <v>#VALUE!</v>
      </c>
      <c r="AQ107" s="294" t="e">
        <f>1000*AP107/$K107+AN107*1000000000/('1a. Spredningsmodell input'!$B$45*1000)</f>
        <v>#VALUE!</v>
      </c>
      <c r="AR107" s="294" t="e">
        <f t="shared" si="36"/>
        <v>#VALUE!</v>
      </c>
      <c r="AS107" s="294" t="e">
        <f>AN107*1000000000/('1a. Spredningsmodell input'!$B$45*1000)</f>
        <v>#VALUE!</v>
      </c>
      <c r="AT107" s="295">
        <f t="shared" si="60"/>
        <v>5</v>
      </c>
      <c r="AU107" s="290" t="e">
        <f>($D107-Stoff!$P107*$D107)*EXP(-($F107+Stoff!$L107*365)*AT107)</f>
        <v>#VALUE!</v>
      </c>
      <c r="AV107" s="291" t="e">
        <f>(Stoff!$P107*$D107)*EXP(-'1a. Spredningsmodell input'!$B$43*AT107)</f>
        <v>#VALUE!</v>
      </c>
      <c r="AW107" s="290" t="e">
        <f>($D107-Stoff!$P107*$D107-AU107)*($F107/($F107+Stoff!$L107*365))</f>
        <v>#VALUE!</v>
      </c>
      <c r="AX107" s="290" t="e">
        <f>(Stoff!$P107*$D107)-AV107</f>
        <v>#VALUE!</v>
      </c>
      <c r="AY107" s="290" t="e">
        <f>($O107+AW107)*EXP(-($N107+Stoff!$M107*365)*AT107)</f>
        <v>#VALUE!</v>
      </c>
      <c r="AZ107" s="290" t="e">
        <f>(Stoff!$P107*$O107+AX107)*EXP(-('1a. Spredningsmodell input'!$B$46)*AT107)</f>
        <v>#VALUE!</v>
      </c>
      <c r="BA107" s="292" t="e">
        <f>((AY107+AZ107)*1000000000)/('1a. Spredningsmodell input'!$B$45*1000)</f>
        <v>#VALUE!</v>
      </c>
      <c r="BB107" s="294" t="e">
        <f>0.001*BA107/('1a. Spredningsmodell input'!$C$25+'1a. Spredningsmodell input'!$C$26/Mellomregninger!$K107)</f>
        <v>#VALUE!</v>
      </c>
      <c r="BC107" s="294" t="e">
        <f>1000*BB107/$K107+AZ107*1000000000/('1a. Spredningsmodell input'!$B$45*1000)</f>
        <v>#VALUE!</v>
      </c>
      <c r="BD107" s="294" t="e">
        <f t="shared" si="38"/>
        <v>#VALUE!</v>
      </c>
      <c r="BE107" s="294" t="e">
        <f>AZ107*1000000000/('1a. Spredningsmodell input'!$B$45*1000)</f>
        <v>#VALUE!</v>
      </c>
      <c r="BF107" s="295">
        <f t="shared" si="61"/>
        <v>20</v>
      </c>
      <c r="BG107" s="290" t="e">
        <f>($D107-Stoff!$P107*$D107)*EXP(-($F107+Stoff!$L107*365)*BF107)</f>
        <v>#VALUE!</v>
      </c>
      <c r="BH107" s="291" t="e">
        <f>(Stoff!$P107*$D107)*EXP(-'1a. Spredningsmodell input'!$B$43*BF107)</f>
        <v>#VALUE!</v>
      </c>
      <c r="BI107" s="290" t="e">
        <f>($D107-Stoff!$P107*$D107-BG107)*($F107/($F107+Stoff!$L107*365))</f>
        <v>#VALUE!</v>
      </c>
      <c r="BJ107" s="290" t="e">
        <f>(Stoff!$P107*$D107)-BH107</f>
        <v>#VALUE!</v>
      </c>
      <c r="BK107" s="290" t="e">
        <f>($O107+BI107)*EXP(-($N107+Stoff!$M107*365)*BF107)</f>
        <v>#VALUE!</v>
      </c>
      <c r="BL107" s="290" t="e">
        <f>(Stoff!$P107*$O107+BJ107)*EXP(-('1a. Spredningsmodell input'!$B$46)*BF107)</f>
        <v>#VALUE!</v>
      </c>
      <c r="BM107" s="292" t="e">
        <f>((BK107+BL107)*1000000000)/('1a. Spredningsmodell input'!$B$45*1000)</f>
        <v>#VALUE!</v>
      </c>
      <c r="BN107" s="294" t="e">
        <f>0.001*BM107/('1a. Spredningsmodell input'!$C$25+'1a. Spredningsmodell input'!$C$26/Mellomregninger!$K107)</f>
        <v>#VALUE!</v>
      </c>
      <c r="BO107" s="294" t="e">
        <f>1000*BN107/$K107+BL107*1000000000/('1a. Spredningsmodell input'!$B$45*1000)</f>
        <v>#VALUE!</v>
      </c>
      <c r="BP107" s="294" t="e">
        <f t="shared" si="40"/>
        <v>#VALUE!</v>
      </c>
      <c r="BQ107" s="294" t="e">
        <f>BL107*1000000000/('1a. Spredningsmodell input'!$B$45*1000)</f>
        <v>#VALUE!</v>
      </c>
      <c r="BR107" s="295">
        <f t="shared" si="62"/>
        <v>100</v>
      </c>
      <c r="BS107" s="290" t="e">
        <f>($D107-Stoff!$P107*$D107)*EXP(-($F107+Stoff!$L107*365)*BR107)</f>
        <v>#VALUE!</v>
      </c>
      <c r="BT107" s="291" t="e">
        <f>(Stoff!$P107*$D107)*EXP(-'1a. Spredningsmodell input'!$B$43*BR107)</f>
        <v>#VALUE!</v>
      </c>
      <c r="BU107" s="290" t="e">
        <f>($D107-Stoff!$P107*$D107-BS107)*($F107/($F107+Stoff!$L107*365))</f>
        <v>#VALUE!</v>
      </c>
      <c r="BV107" s="290" t="e">
        <f>(Stoff!$P107*$D107)-BT107</f>
        <v>#VALUE!</v>
      </c>
      <c r="BW107" s="290" t="e">
        <f>($O107+BU107)*EXP(-($N107+Stoff!$M107*365)*BR107)</f>
        <v>#VALUE!</v>
      </c>
      <c r="BX107" s="290" t="e">
        <f>(Stoff!$P107*$O107+BV107)*EXP(-('1a. Spredningsmodell input'!$B$46)*BR107)</f>
        <v>#VALUE!</v>
      </c>
      <c r="BY107" s="292" t="e">
        <f>((BW107+BX107)*1000000000)/('1a. Spredningsmodell input'!$B$45*1000)</f>
        <v>#VALUE!</v>
      </c>
      <c r="BZ107" s="294" t="e">
        <f>0.001*BY107/('1a. Spredningsmodell input'!$C$25+'1a. Spredningsmodell input'!$C$26/Mellomregninger!$K107)</f>
        <v>#VALUE!</v>
      </c>
      <c r="CA107" s="294" t="e">
        <f>1000*BZ107/$K107+BX107*1000000000/('1a. Spredningsmodell input'!$B$45*1000)</f>
        <v>#VALUE!</v>
      </c>
      <c r="CB107" s="294" t="e">
        <f t="shared" si="42"/>
        <v>#VALUE!</v>
      </c>
      <c r="CC107" s="294" t="e">
        <f>BX107*1000000000/('1a. Spredningsmodell input'!$B$45*1000)</f>
        <v>#VALUE!</v>
      </c>
      <c r="CD107" s="294" t="e">
        <f>V107+'1a. Spredningsmodell input'!$C$35</f>
        <v>#VALUE!</v>
      </c>
      <c r="CE107" s="294" t="e">
        <f>($S107+$Q107*($O107+$I107*($D107*(1-Stoff!$P107))*(1-EXP(-($F107+Stoff!$L107*365)*CD107)))*(1-EXP(-($N107+Stoff!$M107*365)*CD107)))</f>
        <v>#VALUE!</v>
      </c>
      <c r="CF107" s="294" t="e">
        <f t="shared" si="43"/>
        <v>#VALUE!</v>
      </c>
      <c r="CG107" s="296" t="e">
        <f>(CF107/1000000)*'1a. Spredningsmodell input'!$B$49*'1a. Spredningsmodell input'!$C$35</f>
        <v>#VALUE!</v>
      </c>
      <c r="CH107" s="294" t="e">
        <f t="shared" si="44"/>
        <v>#VALUE!</v>
      </c>
      <c r="CI107" s="290" t="e">
        <f>(CH107/1000000)*'1a. Spredningsmodell input'!$B$49*'1a. Spredningsmodell input'!$C$35</f>
        <v>#VALUE!</v>
      </c>
      <c r="CJ107" s="297" t="e">
        <f>($S107)*EXP(-(Stoff!$N107*365+$U107)*CD107)+CG107</f>
        <v>#VALUE!</v>
      </c>
      <c r="CK107" s="297" t="e">
        <f>(Stoff!$P107*$S107+CI107)*EXP(-$T107*CD107)</f>
        <v>#VALUE!</v>
      </c>
      <c r="CL107" s="297" t="e">
        <f>(CJ107+CK107)*1000000000/('1a. Spredningsmodell input'!$C$36*1000)</f>
        <v>#VALUE!</v>
      </c>
      <c r="CM107" s="297" t="e">
        <f>$G107*(1-EXP(-'1a. Spredningsmodell input'!$B$43*Mellomregninger!CD107))*(1-EXP(-'1a. Spredningsmodell input'!$B$46*Mellomregninger!CD107))</f>
        <v>#VALUE!</v>
      </c>
      <c r="CN107" s="297"/>
      <c r="CO107" s="297"/>
      <c r="CP107" s="290">
        <f>IF(ISNUMBER(AH107),AH107+'1a. Spredningsmodell input'!$C$35,'1a. Spredningsmodell input'!$C$35)</f>
        <v>1</v>
      </c>
      <c r="CQ107" s="294" t="e">
        <f>($S107+$Q107*($O107+$I107*($D107*(1-Stoff!$P107))*(1-EXP(-($F107+Stoff!$L107*365)*CP107)))*(1-EXP(-($N107+Stoff!$M107*365)*CP107)))</f>
        <v>#VALUE!</v>
      </c>
      <c r="CR107" s="294" t="e">
        <f t="shared" si="45"/>
        <v>#VALUE!</v>
      </c>
      <c r="CS107" s="296" t="e">
        <f>(CR107/1000000)*('1a. Spredningsmodell input'!$B$49*'1a. Spredningsmodell input'!$C$35)</f>
        <v>#VALUE!</v>
      </c>
      <c r="CT107" s="294" t="e">
        <f t="shared" si="46"/>
        <v>#VALUE!</v>
      </c>
      <c r="CU107" s="290" t="e">
        <f>(CT107/1000000)*('1a. Spredningsmodell input'!$B$49)*'1a. Spredningsmodell input'!$C$35</f>
        <v>#VALUE!</v>
      </c>
      <c r="CV107" s="297" t="e">
        <f>($S107)*EXP(-(Stoff!$N107*365+$U107)*CP107)+CS107</f>
        <v>#VALUE!</v>
      </c>
      <c r="CW107" s="297" t="e">
        <f>(Stoff!$P107*$S107+CU107)*EXP(-$T107*CP107)</f>
        <v>#VALUE!</v>
      </c>
      <c r="CX107" s="297">
        <f>IF(ISERROR(CV107),0,(CV107+CW107)*1000000000/('1a. Spredningsmodell input'!$C$36*1000))</f>
        <v>0</v>
      </c>
      <c r="CY107" s="297" t="e">
        <f>$G107*(1-EXP(-'1a. Spredningsmodell input'!$B$43*Mellomregninger!CP107))*(1-EXP(-'1a. Spredningsmodell input'!$B$46*Mellomregninger!CP107))</f>
        <v>#VALUE!</v>
      </c>
      <c r="CZ107" s="297"/>
      <c r="DA107" s="297"/>
      <c r="DB107" s="262">
        <f t="shared" si="63"/>
        <v>5</v>
      </c>
      <c r="DC107" s="298" t="e">
        <f>($S107+$Q107*($O107+$I107*($D107*(1-Stoff!$P107))*(1-EXP(-($F107+Stoff!$L107*365)*DB107)))*(1-EXP(-($N107+Stoff!$M107*365)*DB107)))</f>
        <v>#VALUE!</v>
      </c>
      <c r="DD107" s="294" t="e">
        <f t="shared" si="48"/>
        <v>#VALUE!</v>
      </c>
      <c r="DE107" s="296" t="e">
        <f>(DD107/1000000)*('1a. Spredningsmodell input'!$B$49)*'1a. Spredningsmodell input'!$C$35</f>
        <v>#VALUE!</v>
      </c>
      <c r="DF107" s="294" t="e">
        <f t="shared" si="49"/>
        <v>#VALUE!</v>
      </c>
      <c r="DG107" s="290" t="e">
        <f>(DF107/1000000)*('1a. Spredningsmodell input'!$B$49)*'1a. Spredningsmodell input'!$C$35</f>
        <v>#VALUE!</v>
      </c>
      <c r="DH107" s="297" t="e">
        <f>($S107)*EXP(-(Stoff!$N107*365+$U107)*DB107)+DE107</f>
        <v>#VALUE!</v>
      </c>
      <c r="DI107" s="297" t="e">
        <f>(Stoff!$P107*$S107+DG107)*EXP(-$T107*DB107)</f>
        <v>#VALUE!</v>
      </c>
      <c r="DJ107" s="297" t="e">
        <f>(DH107+DI107)*1000000000/('1a. Spredningsmodell input'!$C$36*1000)</f>
        <v>#VALUE!</v>
      </c>
      <c r="DK107" s="297" t="e">
        <f>$G107*(1-EXP(-'1a. Spredningsmodell input'!$B$43*Mellomregninger!DB107))*(1-EXP(-'1a. Spredningsmodell input'!$B$46*Mellomregninger!DB107))</f>
        <v>#VALUE!</v>
      </c>
      <c r="DL107" s="297"/>
      <c r="DM107" s="297"/>
      <c r="DN107" s="262">
        <f t="shared" si="64"/>
        <v>20</v>
      </c>
      <c r="DO107" s="298" t="e">
        <f>($S107+$Q107*($O107+$I107*($D107*(1-Stoff!$P107))*(1-EXP(-($F107+Stoff!$L107*365)*DN107)))*(1-EXP(-($N107+Stoff!$M107*365)*DN107)))</f>
        <v>#VALUE!</v>
      </c>
      <c r="DP107" s="294" t="e">
        <f t="shared" si="51"/>
        <v>#VALUE!</v>
      </c>
      <c r="DQ107" s="296" t="e">
        <f>(DP107/1000000)*('1a. Spredningsmodell input'!$B$49)*'1a. Spredningsmodell input'!$C$35</f>
        <v>#VALUE!</v>
      </c>
      <c r="DR107" s="294" t="e">
        <f t="shared" si="52"/>
        <v>#VALUE!</v>
      </c>
      <c r="DS107" s="290" t="e">
        <f>(DR107/1000000)*('1a. Spredningsmodell input'!$B$49)*'1a. Spredningsmodell input'!$C$35</f>
        <v>#VALUE!</v>
      </c>
      <c r="DT107" s="297" t="e">
        <f>($S107)*EXP(-(Stoff!$N107*365+$U107)*DN107)+DQ107</f>
        <v>#VALUE!</v>
      </c>
      <c r="DU107" s="297" t="e">
        <f>(Stoff!$P107*$S107+DS107)*EXP(-$T107*DN107)</f>
        <v>#VALUE!</v>
      </c>
      <c r="DV107" s="297" t="e">
        <f>(DT107+DU107)*1000000000/('1a. Spredningsmodell input'!$C$36*1000)</f>
        <v>#VALUE!</v>
      </c>
      <c r="DW107" s="297" t="e">
        <f>$G107*(1-EXP(-'1a. Spredningsmodell input'!$B$43*Mellomregninger!DN107))*(1-EXP(-'1a. Spredningsmodell input'!$B$46*Mellomregninger!DN107))</f>
        <v>#VALUE!</v>
      </c>
      <c r="DX107" s="297"/>
      <c r="DY107" s="297"/>
      <c r="DZ107" s="262">
        <f t="shared" si="65"/>
        <v>100</v>
      </c>
      <c r="EA107" s="298" t="e">
        <f>($S107+$Q107*($O107+$I107*($D107*(1-Stoff!$P107))*(1-EXP(-($F107+Stoff!$L107*365)*DZ107)))*(1-EXP(-($N107+Stoff!$M107*365)*DZ107)))</f>
        <v>#VALUE!</v>
      </c>
      <c r="EB107" s="294" t="e">
        <f t="shared" si="54"/>
        <v>#VALUE!</v>
      </c>
      <c r="EC107" s="296" t="e">
        <f>(EB107/1000000)*('1a. Spredningsmodell input'!$B$49)*'1a. Spredningsmodell input'!$C$35</f>
        <v>#VALUE!</v>
      </c>
      <c r="ED107" s="294" t="e">
        <f t="shared" si="55"/>
        <v>#VALUE!</v>
      </c>
      <c r="EE107" s="290" t="e">
        <f>(ED107/1000000)*('1a. Spredningsmodell input'!$B$49)*'1a. Spredningsmodell input'!$C$35</f>
        <v>#VALUE!</v>
      </c>
      <c r="EF107" s="297" t="e">
        <f>($S107)*EXP(-(Stoff!$N107*365+$U107)*DZ107)+EC107</f>
        <v>#VALUE!</v>
      </c>
      <c r="EG107" s="297" t="e">
        <f>(Stoff!$P107*$S107+EE107)*EXP(-$T107*DZ107)</f>
        <v>#VALUE!</v>
      </c>
      <c r="EH107" s="297" t="e">
        <f>(EF107+EG107)*1000000000/('1a. Spredningsmodell input'!$C$36*1000)</f>
        <v>#VALUE!</v>
      </c>
      <c r="EI107" s="297" t="e">
        <f>$G107*(1-EXP(-'1a. Spredningsmodell input'!$B$43*Mellomregninger!DZ107))*(1-EXP(-'1a. Spredningsmodell input'!$B$46*Mellomregninger!DZ107))</f>
        <v>#VALUE!</v>
      </c>
      <c r="EJ107" s="297"/>
      <c r="EK107" s="297"/>
      <c r="EL107" s="262">
        <f t="shared" si="66"/>
        <v>1.0000000000000001E+25</v>
      </c>
      <c r="EM107" s="294" t="e">
        <f>($S107+$Q107*($O107+$I107*($D107*(1-Stoff!$P107))*(1-EXP(-($F107+Stoff!$L107*365)*EL107)))*(1-EXP(-($N107+Stoff!$M107*365)*EL107)))</f>
        <v>#VALUE!</v>
      </c>
      <c r="EN107" s="296" t="e">
        <f>($S107+$Q107*($O107+$I107*($D107*(1-Stoff!$P107))*(1-EXP(-($F107+Stoff!$L107*365)*(EL107-'1a. Spredningsmodell input'!$C$35))))*(1-EXP(-($N107+Stoff!$M107*365)*(EL107-'1a. Spredningsmodell input'!$C$35))))</f>
        <v>#VALUE!</v>
      </c>
      <c r="EO107" s="294" t="e">
        <f>IF(EL107&lt;'1a. Spredningsmodell input'!$C$35,EM107-($S107)*EXP(-(Stoff!$N107*365+$U107)*EL107),EM107-EN107)</f>
        <v>#VALUE!</v>
      </c>
      <c r="EP107" s="290" t="e">
        <f>((($D107*(Stoff!$P107))*(1-EXP(-'1a. Spredningsmodell input'!$B$43*EL107)))*(1-EXP(-'1a. Spredningsmodell input'!$B$46*EL107)))</f>
        <v>#VALUE!</v>
      </c>
      <c r="EQ107" s="294" t="e">
        <f>((($D107*(Stoff!$P107))*(1-EXP(-'1a. Spredningsmodell input'!$B$43*(EL107-'1a. Spredningsmodell input'!$C$35))))*(1-EXP(-'1a. Spredningsmodell input'!$B$46*(EL107-'1a. Spredningsmodell input'!$C$35))))</f>
        <v>#VALUE!</v>
      </c>
      <c r="ER107" s="290" t="e">
        <f>IF(EL107&lt;'1a. Spredningsmodell input'!$C$35,0,EP107-EQ107)</f>
        <v>#VALUE!</v>
      </c>
      <c r="ES107" s="297" t="e">
        <f>($S107)*EXP(-(Stoff!$N107*365+$U107)*EL107)+EO107</f>
        <v>#VALUE!</v>
      </c>
      <c r="ET107" s="297" t="e">
        <f>(Stoff!$P107*$S107+ER107)*EXP(-$T107*EL107)</f>
        <v>#VALUE!</v>
      </c>
      <c r="EU107" s="297" t="e">
        <f>(ES107+ET107)*1000000000/('1a. Spredningsmodell input'!$C$36*1000)</f>
        <v>#VALUE!</v>
      </c>
      <c r="EV107" s="262" t="e">
        <f t="shared" si="67"/>
        <v>#VALUE!</v>
      </c>
      <c r="EW107" s="299" t="e">
        <f t="shared" si="68"/>
        <v>#VALUE!</v>
      </c>
      <c r="EX107" s="262" t="e">
        <f t="shared" si="69"/>
        <v>#VALUE!</v>
      </c>
    </row>
    <row r="108" spans="1:154" x14ac:dyDescent="0.35">
      <c r="A108" s="301" t="str">
        <f>Stoff!A108</f>
        <v>nystoff 22</v>
      </c>
      <c r="B108" s="34" t="str">
        <f>IF(ISNUMBER('1c. Kons. porevann'!E108),1000*'1c. Kons. porevann'!E108,IF(ISNUMBER('1b. Kons. umettet jord'!E108),1000*'1b. Kons. umettet jord'!E108/C108,""))</f>
        <v/>
      </c>
      <c r="C108" s="244">
        <f>IF(Stoff!B108="uorganisk",Stoff!C108,Stoff!D108*'1a. Spredningsmodell input'!$C$11)</f>
        <v>0</v>
      </c>
      <c r="D108" s="34" t="str">
        <f>IF(ISNUMBER(B108),0.000001*('1b. Kons. umettet jord'!G108*'1a. Spredningsmodell input'!$C$12+B108*0.001*'1a. Spredningsmodell input'!$C$14)*1000*'1a. Spredningsmodell input'!$B$41*'1a. Spredningsmodell input'!$C$18,"")</f>
        <v/>
      </c>
      <c r="E108" s="283">
        <f>C108*'1a. Spredningsmodell input'!$C$12/'1a. Spredningsmodell input'!$C$14+1</f>
        <v>1</v>
      </c>
      <c r="F108" s="284">
        <f>'1a. Spredningsmodell input'!$B$43/E108</f>
        <v>1.4999999999999998</v>
      </c>
      <c r="G108" s="34" t="e">
        <f>Stoff!P108*Mellomregninger!D108</f>
        <v>#VALUE!</v>
      </c>
      <c r="H108" s="283" t="e">
        <f>(D108-G108)*(F108/(F108+Stoff!L108))</f>
        <v>#VALUE!</v>
      </c>
      <c r="I108" s="283">
        <f>F108/(F108+Stoff!L108)</f>
        <v>1</v>
      </c>
      <c r="J108" s="285" t="str">
        <f>IF(B108="","",IF(ISNUMBER('1d. Kons. mettet sone'!E108),'1d. Kons. mettet sone'!E108,IF(ISNUMBER('1e. Kons. grunnvann'!E108),'1e. Kons. grunnvann'!E108*Mellomregninger!K108,0)))</f>
        <v/>
      </c>
      <c r="K108" s="286">
        <f>IF(Stoff!B108="uorganisk",Stoff!C108,Stoff!D108*'1a. Spredningsmodell input'!$C$24)</f>
        <v>0</v>
      </c>
      <c r="L108" s="27" t="e">
        <f>IF(ISNUMBER('1e. Kons. grunnvann'!E108),1000*'1e. Kons. grunnvann'!E108,1000*J108/K108)</f>
        <v>#VALUE!</v>
      </c>
      <c r="M108" s="34">
        <f>K108*'1a. Spredningsmodell input'!$C$25/'1a. Spredningsmodell input'!$C$26+1</f>
        <v>1</v>
      </c>
      <c r="N108" s="284">
        <f>'1a. Spredningsmodell input'!$C$26/M108</f>
        <v>0.4</v>
      </c>
      <c r="O108" s="287" t="e">
        <f>0.000000001*(J108*'1a. Spredningsmodell input'!$C$25+L108)*1000*'1a. Spredningsmodell input'!$B$45</f>
        <v>#VALUE!</v>
      </c>
      <c r="P108" s="287" t="e">
        <f>O108*Stoff!P108</f>
        <v>#VALUE!</v>
      </c>
      <c r="Q108" s="287">
        <f>N108/(N108+Stoff!M108)</f>
        <v>1</v>
      </c>
      <c r="R108" s="288">
        <f>IF(ISNUMBER('1f. Kons. resipient'!E108),'1f. Kons. resipient'!E108,0)</f>
        <v>0</v>
      </c>
      <c r="S108" s="288">
        <f>0.000000001*'1a. Spredningsmodell input'!$C$36*R108*1000</f>
        <v>0</v>
      </c>
      <c r="T108" s="288">
        <f>1/'1a. Spredningsmodell input'!$C$35</f>
        <v>1</v>
      </c>
      <c r="U108" s="288">
        <f>1/'1a. Spredningsmodell input'!$C$35</f>
        <v>1</v>
      </c>
      <c r="V108" s="300" t="e">
        <f>(1/($N108+Stoff!$L108))*(LN(($D108*$I108/($D108*$I108+$J108))*($F108+Stoff!$L108+$N108+Stoff!$M108)/($N108+Stoff!$M108)))</f>
        <v>#VALUE!</v>
      </c>
      <c r="W108" s="290" t="e">
        <f>($D108-Stoff!$P108*$D108)*EXP(-($F108+Stoff!$L108*365)*V108)</f>
        <v>#VALUE!</v>
      </c>
      <c r="X108" s="291" t="e">
        <f>(Stoff!$P108*$D108)*EXP(-'1a. Spredningsmodell input'!$B$43*V108)</f>
        <v>#VALUE!</v>
      </c>
      <c r="Y108" s="290" t="e">
        <f>($D108-Stoff!$P108*$D108-W108)*($F108/($F108+Stoff!$L108*365))</f>
        <v>#VALUE!</v>
      </c>
      <c r="Z108" s="290" t="e">
        <f>(Stoff!$P108*$D108)-X108</f>
        <v>#VALUE!</v>
      </c>
      <c r="AA108" s="290" t="e">
        <f>($O108+Y108)*EXP(-($N108+Stoff!$M108*365)*V108)</f>
        <v>#VALUE!</v>
      </c>
      <c r="AB108" s="290" t="e">
        <f>(Stoff!$P108*$O108+Z108)*EXP(-('1a. Spredningsmodell input'!$B$46)*V108)</f>
        <v>#VALUE!</v>
      </c>
      <c r="AC108" s="292" t="e">
        <f>((AA108+AB108)*1000000000)/('1a. Spredningsmodell input'!$B$45*1000)</f>
        <v>#VALUE!</v>
      </c>
      <c r="AD108" s="294" t="e">
        <f>0.001*AC108/('1a. Spredningsmodell input'!$C$25+'1a. Spredningsmodell input'!$C$26/Mellomregninger!$K108)</f>
        <v>#VALUE!</v>
      </c>
      <c r="AE108" s="294" t="e">
        <f>1000*AD108/$K108+AB108*1000000000/('1a. Spredningsmodell input'!$B$45*1000)</f>
        <v>#VALUE!</v>
      </c>
      <c r="AF108" s="294" t="e">
        <f t="shared" si="35"/>
        <v>#VALUE!</v>
      </c>
      <c r="AG108" s="294" t="e">
        <f>AB108*1000000000/('1a. Spredningsmodell input'!$B$45*1000)</f>
        <v>#VALUE!</v>
      </c>
      <c r="AH108" s="300" t="e">
        <f>(1/('1a. Spredningsmodell input'!$B$46))*(LN(($D108*Stoff!$P108/($D108*Stoff!$P108+$P108*Stoff!$P108))*('1a. Spredningsmodell input'!$B$43+'1a. Spredningsmodell input'!$B$46)/('1a. Spredningsmodell input'!$B$46)))</f>
        <v>#VALUE!</v>
      </c>
      <c r="AI108" s="290" t="e">
        <f>($D108-Stoff!$P108*$D108)*EXP(-($F108+Stoff!$L108*365)*AH108)</f>
        <v>#VALUE!</v>
      </c>
      <c r="AJ108" s="291" t="e">
        <f>(Stoff!$P108*$D108)*EXP(-'1a. Spredningsmodell input'!$B$43*AH108)</f>
        <v>#VALUE!</v>
      </c>
      <c r="AK108" s="290" t="e">
        <f>($D108-Stoff!$P108*$D108-AI108)*($F108/($F108+Stoff!$L108*365))</f>
        <v>#VALUE!</v>
      </c>
      <c r="AL108" s="290" t="e">
        <f>(Stoff!$P108*$D108)-AJ108</f>
        <v>#VALUE!</v>
      </c>
      <c r="AM108" s="290" t="e">
        <f>($O108+AK108)*EXP(-($N108+Stoff!$M108*365)*AH108)</f>
        <v>#VALUE!</v>
      </c>
      <c r="AN108" s="290" t="e">
        <f>(Stoff!$P108*$O108+AL108)*EXP(-('1a. Spredningsmodell input'!$B$46)*AH108)</f>
        <v>#VALUE!</v>
      </c>
      <c r="AO108" s="292" t="e">
        <f>((AM108+AN108)*1000000000)/('1a. Spredningsmodell input'!$B$45*1000)</f>
        <v>#VALUE!</v>
      </c>
      <c r="AP108" s="294" t="e">
        <f>0.001*AO108/('1a. Spredningsmodell input'!$C$25+'1a. Spredningsmodell input'!$C$26/Mellomregninger!$K108)</f>
        <v>#VALUE!</v>
      </c>
      <c r="AQ108" s="294" t="e">
        <f>1000*AP108/$K108+AN108*1000000000/('1a. Spredningsmodell input'!$B$45*1000)</f>
        <v>#VALUE!</v>
      </c>
      <c r="AR108" s="294" t="e">
        <f t="shared" si="36"/>
        <v>#VALUE!</v>
      </c>
      <c r="AS108" s="294" t="e">
        <f>AN108*1000000000/('1a. Spredningsmodell input'!$B$45*1000)</f>
        <v>#VALUE!</v>
      </c>
      <c r="AT108" s="295">
        <f t="shared" si="60"/>
        <v>5</v>
      </c>
      <c r="AU108" s="290" t="e">
        <f>($D108-Stoff!$P108*$D108)*EXP(-($F108+Stoff!$L108*365)*AT108)</f>
        <v>#VALUE!</v>
      </c>
      <c r="AV108" s="291" t="e">
        <f>(Stoff!$P108*$D108)*EXP(-'1a. Spredningsmodell input'!$B$43*AT108)</f>
        <v>#VALUE!</v>
      </c>
      <c r="AW108" s="290" t="e">
        <f>($D108-Stoff!$P108*$D108-AU108)*($F108/($F108+Stoff!$L108*365))</f>
        <v>#VALUE!</v>
      </c>
      <c r="AX108" s="290" t="e">
        <f>(Stoff!$P108*$D108)-AV108</f>
        <v>#VALUE!</v>
      </c>
      <c r="AY108" s="290" t="e">
        <f>($O108+AW108)*EXP(-($N108+Stoff!$M108*365)*AT108)</f>
        <v>#VALUE!</v>
      </c>
      <c r="AZ108" s="290" t="e">
        <f>(Stoff!$P108*$O108+AX108)*EXP(-('1a. Spredningsmodell input'!$B$46)*AT108)</f>
        <v>#VALUE!</v>
      </c>
      <c r="BA108" s="292" t="e">
        <f>((AY108+AZ108)*1000000000)/('1a. Spredningsmodell input'!$B$45*1000)</f>
        <v>#VALUE!</v>
      </c>
      <c r="BB108" s="294" t="e">
        <f>0.001*BA108/('1a. Spredningsmodell input'!$C$25+'1a. Spredningsmodell input'!$C$26/Mellomregninger!$K108)</f>
        <v>#VALUE!</v>
      </c>
      <c r="BC108" s="294" t="e">
        <f>1000*BB108/$K108+AZ108*1000000000/('1a. Spredningsmodell input'!$B$45*1000)</f>
        <v>#VALUE!</v>
      </c>
      <c r="BD108" s="294" t="e">
        <f t="shared" si="38"/>
        <v>#VALUE!</v>
      </c>
      <c r="BE108" s="294" t="e">
        <f>AZ108*1000000000/('1a. Spredningsmodell input'!$B$45*1000)</f>
        <v>#VALUE!</v>
      </c>
      <c r="BF108" s="295">
        <f t="shared" si="61"/>
        <v>20</v>
      </c>
      <c r="BG108" s="290" t="e">
        <f>($D108-Stoff!$P108*$D108)*EXP(-($F108+Stoff!$L108*365)*BF108)</f>
        <v>#VALUE!</v>
      </c>
      <c r="BH108" s="291" t="e">
        <f>(Stoff!$P108*$D108)*EXP(-'1a. Spredningsmodell input'!$B$43*BF108)</f>
        <v>#VALUE!</v>
      </c>
      <c r="BI108" s="290" t="e">
        <f>($D108-Stoff!$P108*$D108-BG108)*($F108/($F108+Stoff!$L108*365))</f>
        <v>#VALUE!</v>
      </c>
      <c r="BJ108" s="290" t="e">
        <f>(Stoff!$P108*$D108)-BH108</f>
        <v>#VALUE!</v>
      </c>
      <c r="BK108" s="290" t="e">
        <f>($O108+BI108)*EXP(-($N108+Stoff!$M108*365)*BF108)</f>
        <v>#VALUE!</v>
      </c>
      <c r="BL108" s="290" t="e">
        <f>(Stoff!$P108*$O108+BJ108)*EXP(-('1a. Spredningsmodell input'!$B$46)*BF108)</f>
        <v>#VALUE!</v>
      </c>
      <c r="BM108" s="292" t="e">
        <f>((BK108+BL108)*1000000000)/('1a. Spredningsmodell input'!$B$45*1000)</f>
        <v>#VALUE!</v>
      </c>
      <c r="BN108" s="294" t="e">
        <f>0.001*BM108/('1a. Spredningsmodell input'!$C$25+'1a. Spredningsmodell input'!$C$26/Mellomregninger!$K108)</f>
        <v>#VALUE!</v>
      </c>
      <c r="BO108" s="294" t="e">
        <f>1000*BN108/$K108+BL108*1000000000/('1a. Spredningsmodell input'!$B$45*1000)</f>
        <v>#VALUE!</v>
      </c>
      <c r="BP108" s="294" t="e">
        <f t="shared" si="40"/>
        <v>#VALUE!</v>
      </c>
      <c r="BQ108" s="294" t="e">
        <f>BL108*1000000000/('1a. Spredningsmodell input'!$B$45*1000)</f>
        <v>#VALUE!</v>
      </c>
      <c r="BR108" s="295">
        <f t="shared" si="62"/>
        <v>100</v>
      </c>
      <c r="BS108" s="290" t="e">
        <f>($D108-Stoff!$P108*$D108)*EXP(-($F108+Stoff!$L108*365)*BR108)</f>
        <v>#VALUE!</v>
      </c>
      <c r="BT108" s="291" t="e">
        <f>(Stoff!$P108*$D108)*EXP(-'1a. Spredningsmodell input'!$B$43*BR108)</f>
        <v>#VALUE!</v>
      </c>
      <c r="BU108" s="290" t="e">
        <f>($D108-Stoff!$P108*$D108-BS108)*($F108/($F108+Stoff!$L108*365))</f>
        <v>#VALUE!</v>
      </c>
      <c r="BV108" s="290" t="e">
        <f>(Stoff!$P108*$D108)-BT108</f>
        <v>#VALUE!</v>
      </c>
      <c r="BW108" s="290" t="e">
        <f>($O108+BU108)*EXP(-($N108+Stoff!$M108*365)*BR108)</f>
        <v>#VALUE!</v>
      </c>
      <c r="BX108" s="290" t="e">
        <f>(Stoff!$P108*$O108+BV108)*EXP(-('1a. Spredningsmodell input'!$B$46)*BR108)</f>
        <v>#VALUE!</v>
      </c>
      <c r="BY108" s="292" t="e">
        <f>((BW108+BX108)*1000000000)/('1a. Spredningsmodell input'!$B$45*1000)</f>
        <v>#VALUE!</v>
      </c>
      <c r="BZ108" s="294" t="e">
        <f>0.001*BY108/('1a. Spredningsmodell input'!$C$25+'1a. Spredningsmodell input'!$C$26/Mellomregninger!$K108)</f>
        <v>#VALUE!</v>
      </c>
      <c r="CA108" s="294" t="e">
        <f>1000*BZ108/$K108+BX108*1000000000/('1a. Spredningsmodell input'!$B$45*1000)</f>
        <v>#VALUE!</v>
      </c>
      <c r="CB108" s="294" t="e">
        <f t="shared" si="42"/>
        <v>#VALUE!</v>
      </c>
      <c r="CC108" s="294" t="e">
        <f>BX108*1000000000/('1a. Spredningsmodell input'!$B$45*1000)</f>
        <v>#VALUE!</v>
      </c>
      <c r="CD108" s="294" t="e">
        <f>V108+'1a. Spredningsmodell input'!$C$35</f>
        <v>#VALUE!</v>
      </c>
      <c r="CE108" s="294" t="e">
        <f>($S108+$Q108*($O108+$I108*($D108*(1-Stoff!$P108))*(1-EXP(-($F108+Stoff!$L108*365)*CD108)))*(1-EXP(-($N108+Stoff!$M108*365)*CD108)))</f>
        <v>#VALUE!</v>
      </c>
      <c r="CF108" s="294" t="e">
        <f t="shared" si="43"/>
        <v>#VALUE!</v>
      </c>
      <c r="CG108" s="296" t="e">
        <f>(CF108/1000000)*'1a. Spredningsmodell input'!$B$49*'1a. Spredningsmodell input'!$C$35</f>
        <v>#VALUE!</v>
      </c>
      <c r="CH108" s="294" t="e">
        <f t="shared" si="44"/>
        <v>#VALUE!</v>
      </c>
      <c r="CI108" s="290" t="e">
        <f>(CH108/1000000)*'1a. Spredningsmodell input'!$B$49*'1a. Spredningsmodell input'!$C$35</f>
        <v>#VALUE!</v>
      </c>
      <c r="CJ108" s="297" t="e">
        <f>($S108)*EXP(-(Stoff!$N108*365+$U108)*CD108)+CG108</f>
        <v>#VALUE!</v>
      </c>
      <c r="CK108" s="297" t="e">
        <f>(Stoff!$P108*$S108+CI108)*EXP(-$T108*CD108)</f>
        <v>#VALUE!</v>
      </c>
      <c r="CL108" s="297" t="e">
        <f>(CJ108+CK108)*1000000000/('1a. Spredningsmodell input'!$C$36*1000)</f>
        <v>#VALUE!</v>
      </c>
      <c r="CM108" s="297" t="e">
        <f>$G108*(1-EXP(-'1a. Spredningsmodell input'!$B$43*Mellomregninger!CD108))*(1-EXP(-'1a. Spredningsmodell input'!$B$46*Mellomregninger!CD108))</f>
        <v>#VALUE!</v>
      </c>
      <c r="CN108" s="297"/>
      <c r="CO108" s="297"/>
      <c r="CP108" s="290">
        <f>IF(ISNUMBER(AH108),AH108+'1a. Spredningsmodell input'!$C$35,'1a. Spredningsmodell input'!$C$35)</f>
        <v>1</v>
      </c>
      <c r="CQ108" s="294" t="e">
        <f>($S108+$Q108*($O108+$I108*($D108*(1-Stoff!$P108))*(1-EXP(-($F108+Stoff!$L108*365)*CP108)))*(1-EXP(-($N108+Stoff!$M108*365)*CP108)))</f>
        <v>#VALUE!</v>
      </c>
      <c r="CR108" s="294" t="e">
        <f t="shared" si="45"/>
        <v>#VALUE!</v>
      </c>
      <c r="CS108" s="296" t="e">
        <f>(CR108/1000000)*('1a. Spredningsmodell input'!$B$49*'1a. Spredningsmodell input'!$C$35)</f>
        <v>#VALUE!</v>
      </c>
      <c r="CT108" s="294" t="e">
        <f t="shared" si="46"/>
        <v>#VALUE!</v>
      </c>
      <c r="CU108" s="290" t="e">
        <f>(CT108/1000000)*('1a. Spredningsmodell input'!$B$49)*'1a. Spredningsmodell input'!$C$35</f>
        <v>#VALUE!</v>
      </c>
      <c r="CV108" s="297" t="e">
        <f>($S108)*EXP(-(Stoff!$N108*365+$U108)*CP108)+CS108</f>
        <v>#VALUE!</v>
      </c>
      <c r="CW108" s="297" t="e">
        <f>(Stoff!$P108*$S108+CU108)*EXP(-$T108*CP108)</f>
        <v>#VALUE!</v>
      </c>
      <c r="CX108" s="297">
        <f>IF(ISERROR(CV108),0,(CV108+CW108)*1000000000/('1a. Spredningsmodell input'!$C$36*1000))</f>
        <v>0</v>
      </c>
      <c r="CY108" s="297" t="e">
        <f>$G108*(1-EXP(-'1a. Spredningsmodell input'!$B$43*Mellomregninger!CP108))*(1-EXP(-'1a. Spredningsmodell input'!$B$46*Mellomregninger!CP108))</f>
        <v>#VALUE!</v>
      </c>
      <c r="CZ108" s="297"/>
      <c r="DA108" s="297"/>
      <c r="DB108" s="262">
        <f t="shared" si="63"/>
        <v>5</v>
      </c>
      <c r="DC108" s="298" t="e">
        <f>($S108+$Q108*($O108+$I108*($D108*(1-Stoff!$P108))*(1-EXP(-($F108+Stoff!$L108*365)*DB108)))*(1-EXP(-($N108+Stoff!$M108*365)*DB108)))</f>
        <v>#VALUE!</v>
      </c>
      <c r="DD108" s="294" t="e">
        <f t="shared" si="48"/>
        <v>#VALUE!</v>
      </c>
      <c r="DE108" s="296" t="e">
        <f>(DD108/1000000)*('1a. Spredningsmodell input'!$B$49)*'1a. Spredningsmodell input'!$C$35</f>
        <v>#VALUE!</v>
      </c>
      <c r="DF108" s="294" t="e">
        <f t="shared" si="49"/>
        <v>#VALUE!</v>
      </c>
      <c r="DG108" s="290" t="e">
        <f>(DF108/1000000)*('1a. Spredningsmodell input'!$B$49)*'1a. Spredningsmodell input'!$C$35</f>
        <v>#VALUE!</v>
      </c>
      <c r="DH108" s="297" t="e">
        <f>($S108)*EXP(-(Stoff!$N108*365+$U108)*DB108)+DE108</f>
        <v>#VALUE!</v>
      </c>
      <c r="DI108" s="297" t="e">
        <f>(Stoff!$P108*$S108+DG108)*EXP(-$T108*DB108)</f>
        <v>#VALUE!</v>
      </c>
      <c r="DJ108" s="297" t="e">
        <f>(DH108+DI108)*1000000000/('1a. Spredningsmodell input'!$C$36*1000)</f>
        <v>#VALUE!</v>
      </c>
      <c r="DK108" s="297" t="e">
        <f>$G108*(1-EXP(-'1a. Spredningsmodell input'!$B$43*Mellomregninger!DB108))*(1-EXP(-'1a. Spredningsmodell input'!$B$46*Mellomregninger!DB108))</f>
        <v>#VALUE!</v>
      </c>
      <c r="DL108" s="297"/>
      <c r="DM108" s="297"/>
      <c r="DN108" s="262">
        <f t="shared" si="64"/>
        <v>20</v>
      </c>
      <c r="DO108" s="298" t="e">
        <f>($S108+$Q108*($O108+$I108*($D108*(1-Stoff!$P108))*(1-EXP(-($F108+Stoff!$L108*365)*DN108)))*(1-EXP(-($N108+Stoff!$M108*365)*DN108)))</f>
        <v>#VALUE!</v>
      </c>
      <c r="DP108" s="294" t="e">
        <f t="shared" si="51"/>
        <v>#VALUE!</v>
      </c>
      <c r="DQ108" s="296" t="e">
        <f>(DP108/1000000)*('1a. Spredningsmodell input'!$B$49)*'1a. Spredningsmodell input'!$C$35</f>
        <v>#VALUE!</v>
      </c>
      <c r="DR108" s="294" t="e">
        <f t="shared" si="52"/>
        <v>#VALUE!</v>
      </c>
      <c r="DS108" s="290" t="e">
        <f>(DR108/1000000)*('1a. Spredningsmodell input'!$B$49)*'1a. Spredningsmodell input'!$C$35</f>
        <v>#VALUE!</v>
      </c>
      <c r="DT108" s="297" t="e">
        <f>($S108)*EXP(-(Stoff!$N108*365+$U108)*DN108)+DQ108</f>
        <v>#VALUE!</v>
      </c>
      <c r="DU108" s="297" t="e">
        <f>(Stoff!$P108*$S108+DS108)*EXP(-$T108*DN108)</f>
        <v>#VALUE!</v>
      </c>
      <c r="DV108" s="297" t="e">
        <f>(DT108+DU108)*1000000000/('1a. Spredningsmodell input'!$C$36*1000)</f>
        <v>#VALUE!</v>
      </c>
      <c r="DW108" s="297" t="e">
        <f>$G108*(1-EXP(-'1a. Spredningsmodell input'!$B$43*Mellomregninger!DN108))*(1-EXP(-'1a. Spredningsmodell input'!$B$46*Mellomregninger!DN108))</f>
        <v>#VALUE!</v>
      </c>
      <c r="DX108" s="297"/>
      <c r="DY108" s="297"/>
      <c r="DZ108" s="262">
        <f t="shared" si="65"/>
        <v>100</v>
      </c>
      <c r="EA108" s="298" t="e">
        <f>($S108+$Q108*($O108+$I108*($D108*(1-Stoff!$P108))*(1-EXP(-($F108+Stoff!$L108*365)*DZ108)))*(1-EXP(-($N108+Stoff!$M108*365)*DZ108)))</f>
        <v>#VALUE!</v>
      </c>
      <c r="EB108" s="294" t="e">
        <f t="shared" si="54"/>
        <v>#VALUE!</v>
      </c>
      <c r="EC108" s="296" t="e">
        <f>(EB108/1000000)*('1a. Spredningsmodell input'!$B$49)*'1a. Spredningsmodell input'!$C$35</f>
        <v>#VALUE!</v>
      </c>
      <c r="ED108" s="294" t="e">
        <f t="shared" si="55"/>
        <v>#VALUE!</v>
      </c>
      <c r="EE108" s="290" t="e">
        <f>(ED108/1000000)*('1a. Spredningsmodell input'!$B$49)*'1a. Spredningsmodell input'!$C$35</f>
        <v>#VALUE!</v>
      </c>
      <c r="EF108" s="297" t="e">
        <f>($S108)*EXP(-(Stoff!$N108*365+$U108)*DZ108)+EC108</f>
        <v>#VALUE!</v>
      </c>
      <c r="EG108" s="297" t="e">
        <f>(Stoff!$P108*$S108+EE108)*EXP(-$T108*DZ108)</f>
        <v>#VALUE!</v>
      </c>
      <c r="EH108" s="297" t="e">
        <f>(EF108+EG108)*1000000000/('1a. Spredningsmodell input'!$C$36*1000)</f>
        <v>#VALUE!</v>
      </c>
      <c r="EI108" s="297" t="e">
        <f>$G108*(1-EXP(-'1a. Spredningsmodell input'!$B$43*Mellomregninger!DZ108))*(1-EXP(-'1a. Spredningsmodell input'!$B$46*Mellomregninger!DZ108))</f>
        <v>#VALUE!</v>
      </c>
      <c r="EJ108" s="297"/>
      <c r="EK108" s="297"/>
      <c r="EL108" s="262">
        <f t="shared" si="66"/>
        <v>1.0000000000000001E+25</v>
      </c>
      <c r="EM108" s="294" t="e">
        <f>($S108+$Q108*($O108+$I108*($D108*(1-Stoff!$P108))*(1-EXP(-($F108+Stoff!$L108*365)*EL108)))*(1-EXP(-($N108+Stoff!$M108*365)*EL108)))</f>
        <v>#VALUE!</v>
      </c>
      <c r="EN108" s="296" t="e">
        <f>($S108+$Q108*($O108+$I108*($D108*(1-Stoff!$P108))*(1-EXP(-($F108+Stoff!$L108*365)*(EL108-'1a. Spredningsmodell input'!$C$35))))*(1-EXP(-($N108+Stoff!$M108*365)*(EL108-'1a. Spredningsmodell input'!$C$35))))</f>
        <v>#VALUE!</v>
      </c>
      <c r="EO108" s="294" t="e">
        <f>IF(EL108&lt;'1a. Spredningsmodell input'!$C$35,EM108-($S108)*EXP(-(Stoff!$N108*365+$U108)*EL108),EM108-EN108)</f>
        <v>#VALUE!</v>
      </c>
      <c r="EP108" s="290" t="e">
        <f>((($D108*(Stoff!$P108))*(1-EXP(-'1a. Spredningsmodell input'!$B$43*EL108)))*(1-EXP(-'1a. Spredningsmodell input'!$B$46*EL108)))</f>
        <v>#VALUE!</v>
      </c>
      <c r="EQ108" s="294" t="e">
        <f>((($D108*(Stoff!$P108))*(1-EXP(-'1a. Spredningsmodell input'!$B$43*(EL108-'1a. Spredningsmodell input'!$C$35))))*(1-EXP(-'1a. Spredningsmodell input'!$B$46*(EL108-'1a. Spredningsmodell input'!$C$35))))</f>
        <v>#VALUE!</v>
      </c>
      <c r="ER108" s="290" t="e">
        <f>IF(EL108&lt;'1a. Spredningsmodell input'!$C$35,0,EP108-EQ108)</f>
        <v>#VALUE!</v>
      </c>
      <c r="ES108" s="297" t="e">
        <f>($S108)*EXP(-(Stoff!$N108*365+$U108)*EL108)+EO108</f>
        <v>#VALUE!</v>
      </c>
      <c r="ET108" s="297" t="e">
        <f>(Stoff!$P108*$S108+ER108)*EXP(-$T108*EL108)</f>
        <v>#VALUE!</v>
      </c>
      <c r="EU108" s="297" t="e">
        <f>(ES108+ET108)*1000000000/('1a. Spredningsmodell input'!$C$36*1000)</f>
        <v>#VALUE!</v>
      </c>
      <c r="EV108" s="262" t="e">
        <f t="shared" si="67"/>
        <v>#VALUE!</v>
      </c>
      <c r="EW108" s="299" t="e">
        <f t="shared" si="68"/>
        <v>#VALUE!</v>
      </c>
      <c r="EX108" s="262" t="e">
        <f t="shared" si="69"/>
        <v>#VALUE!</v>
      </c>
    </row>
    <row r="109" spans="1:154" x14ac:dyDescent="0.35">
      <c r="A109" s="301" t="str">
        <f>Stoff!A109</f>
        <v>nystoff 23</v>
      </c>
      <c r="B109" s="34" t="str">
        <f>IF(ISNUMBER('1c. Kons. porevann'!E109),1000*'1c. Kons. porevann'!E109,IF(ISNUMBER('1b. Kons. umettet jord'!E109),1000*'1b. Kons. umettet jord'!E109/C109,""))</f>
        <v/>
      </c>
      <c r="C109" s="244">
        <f>IF(Stoff!B109="uorganisk",Stoff!C109,Stoff!D109*'1a. Spredningsmodell input'!$C$11)</f>
        <v>0</v>
      </c>
      <c r="D109" s="34" t="str">
        <f>IF(ISNUMBER(B109),0.000001*('1b. Kons. umettet jord'!G109*'1a. Spredningsmodell input'!$C$12+B109*0.001*'1a. Spredningsmodell input'!$C$14)*1000*'1a. Spredningsmodell input'!$B$41*'1a. Spredningsmodell input'!$C$18,"")</f>
        <v/>
      </c>
      <c r="E109" s="283">
        <f>C109*'1a. Spredningsmodell input'!$C$12/'1a. Spredningsmodell input'!$C$14+1</f>
        <v>1</v>
      </c>
      <c r="F109" s="284">
        <f>'1a. Spredningsmodell input'!$B$43/E109</f>
        <v>1.4999999999999998</v>
      </c>
      <c r="G109" s="34" t="e">
        <f>Stoff!P109*Mellomregninger!D109</f>
        <v>#VALUE!</v>
      </c>
      <c r="H109" s="283" t="e">
        <f>(D109-G109)*(F109/(F109+Stoff!L109))</f>
        <v>#VALUE!</v>
      </c>
      <c r="I109" s="283">
        <f>F109/(F109+Stoff!L109)</f>
        <v>1</v>
      </c>
      <c r="J109" s="285" t="str">
        <f>IF(B109="","",IF(ISNUMBER('1d. Kons. mettet sone'!E109),'1d. Kons. mettet sone'!E109,IF(ISNUMBER('1e. Kons. grunnvann'!E109),'1e. Kons. grunnvann'!E109*Mellomregninger!K109,0)))</f>
        <v/>
      </c>
      <c r="K109" s="286">
        <f>IF(Stoff!B109="uorganisk",Stoff!C109,Stoff!D109*'1a. Spredningsmodell input'!$C$24)</f>
        <v>0</v>
      </c>
      <c r="L109" s="27" t="e">
        <f>IF(ISNUMBER('1e. Kons. grunnvann'!E109),1000*'1e. Kons. grunnvann'!E109,1000*J109/K109)</f>
        <v>#VALUE!</v>
      </c>
      <c r="M109" s="34">
        <f>K109*'1a. Spredningsmodell input'!$C$25/'1a. Spredningsmodell input'!$C$26+1</f>
        <v>1</v>
      </c>
      <c r="N109" s="284">
        <f>'1a. Spredningsmodell input'!$C$26/M109</f>
        <v>0.4</v>
      </c>
      <c r="O109" s="287" t="e">
        <f>0.000000001*(J109*'1a. Spredningsmodell input'!$C$25+L109)*1000*'1a. Spredningsmodell input'!$B$45</f>
        <v>#VALUE!</v>
      </c>
      <c r="P109" s="287" t="e">
        <f>O109*Stoff!P109</f>
        <v>#VALUE!</v>
      </c>
      <c r="Q109" s="287">
        <f>N109/(N109+Stoff!M109)</f>
        <v>1</v>
      </c>
      <c r="R109" s="288">
        <f>IF(ISNUMBER('1f. Kons. resipient'!E109),'1f. Kons. resipient'!E109,0)</f>
        <v>0</v>
      </c>
      <c r="S109" s="288">
        <f>0.000000001*'1a. Spredningsmodell input'!$C$36*R109*1000</f>
        <v>0</v>
      </c>
      <c r="T109" s="288">
        <f>1/'1a. Spredningsmodell input'!$C$35</f>
        <v>1</v>
      </c>
      <c r="U109" s="288">
        <f>1/'1a. Spredningsmodell input'!$C$35</f>
        <v>1</v>
      </c>
      <c r="V109" s="300" t="e">
        <f>(1/($N109+Stoff!$L109))*(LN(($D109*$I109/($D109*$I109+$J109))*($F109+Stoff!$L109+$N109+Stoff!$M109)/($N109+Stoff!$M109)))</f>
        <v>#VALUE!</v>
      </c>
      <c r="W109" s="290" t="e">
        <f>($D109-Stoff!$P109*$D109)*EXP(-($F109+Stoff!$L109*365)*V109)</f>
        <v>#VALUE!</v>
      </c>
      <c r="X109" s="291" t="e">
        <f>(Stoff!$P109*$D109)*EXP(-'1a. Spredningsmodell input'!$B$43*V109)</f>
        <v>#VALUE!</v>
      </c>
      <c r="Y109" s="290" t="e">
        <f>($D109-Stoff!$P109*$D109-W109)*($F109/($F109+Stoff!$L109*365))</f>
        <v>#VALUE!</v>
      </c>
      <c r="Z109" s="290" t="e">
        <f>(Stoff!$P109*$D109)-X109</f>
        <v>#VALUE!</v>
      </c>
      <c r="AA109" s="290" t="e">
        <f>($O109+Y109)*EXP(-($N109+Stoff!$M109*365)*V109)</f>
        <v>#VALUE!</v>
      </c>
      <c r="AB109" s="290" t="e">
        <f>(Stoff!$P109*$O109+Z109)*EXP(-('1a. Spredningsmodell input'!$B$46)*V109)</f>
        <v>#VALUE!</v>
      </c>
      <c r="AC109" s="292" t="e">
        <f>((AA109+AB109)*1000000000)/('1a. Spredningsmodell input'!$B$45*1000)</f>
        <v>#VALUE!</v>
      </c>
      <c r="AD109" s="294" t="e">
        <f>0.001*AC109/('1a. Spredningsmodell input'!$C$25+'1a. Spredningsmodell input'!$C$26/Mellomregninger!$K109)</f>
        <v>#VALUE!</v>
      </c>
      <c r="AE109" s="294" t="e">
        <f>1000*AD109/$K109+AB109*1000000000/('1a. Spredningsmodell input'!$B$45*1000)</f>
        <v>#VALUE!</v>
      </c>
      <c r="AF109" s="294" t="e">
        <f t="shared" si="35"/>
        <v>#VALUE!</v>
      </c>
      <c r="AG109" s="294" t="e">
        <f>AB109*1000000000/('1a. Spredningsmodell input'!$B$45*1000)</f>
        <v>#VALUE!</v>
      </c>
      <c r="AH109" s="300" t="e">
        <f>(1/('1a. Spredningsmodell input'!$B$46))*(LN(($D109*Stoff!$P109/($D109*Stoff!$P109+$P109*Stoff!$P109))*('1a. Spredningsmodell input'!$B$43+'1a. Spredningsmodell input'!$B$46)/('1a. Spredningsmodell input'!$B$46)))</f>
        <v>#VALUE!</v>
      </c>
      <c r="AI109" s="290" t="e">
        <f>($D109-Stoff!$P109*$D109)*EXP(-($F109+Stoff!$L109*365)*AH109)</f>
        <v>#VALUE!</v>
      </c>
      <c r="AJ109" s="291" t="e">
        <f>(Stoff!$P109*$D109)*EXP(-'1a. Spredningsmodell input'!$B$43*AH109)</f>
        <v>#VALUE!</v>
      </c>
      <c r="AK109" s="290" t="e">
        <f>($D109-Stoff!$P109*$D109-AI109)*($F109/($F109+Stoff!$L109*365))</f>
        <v>#VALUE!</v>
      </c>
      <c r="AL109" s="290" t="e">
        <f>(Stoff!$P109*$D109)-AJ109</f>
        <v>#VALUE!</v>
      </c>
      <c r="AM109" s="290" t="e">
        <f>($O109+AK109)*EXP(-($N109+Stoff!$M109*365)*AH109)</f>
        <v>#VALUE!</v>
      </c>
      <c r="AN109" s="290" t="e">
        <f>(Stoff!$P109*$O109+AL109)*EXP(-('1a. Spredningsmodell input'!$B$46)*AH109)</f>
        <v>#VALUE!</v>
      </c>
      <c r="AO109" s="292" t="e">
        <f>((AM109+AN109)*1000000000)/('1a. Spredningsmodell input'!$B$45*1000)</f>
        <v>#VALUE!</v>
      </c>
      <c r="AP109" s="294" t="e">
        <f>0.001*AO109/('1a. Spredningsmodell input'!$C$25+'1a. Spredningsmodell input'!$C$26/Mellomregninger!$K109)</f>
        <v>#VALUE!</v>
      </c>
      <c r="AQ109" s="294" t="e">
        <f>1000*AP109/$K109+AN109*1000000000/('1a. Spredningsmodell input'!$B$45*1000)</f>
        <v>#VALUE!</v>
      </c>
      <c r="AR109" s="294" t="e">
        <f t="shared" si="36"/>
        <v>#VALUE!</v>
      </c>
      <c r="AS109" s="294" t="e">
        <f>AN109*1000000000/('1a. Spredningsmodell input'!$B$45*1000)</f>
        <v>#VALUE!</v>
      </c>
      <c r="AT109" s="295">
        <f t="shared" si="60"/>
        <v>5</v>
      </c>
      <c r="AU109" s="290" t="e">
        <f>($D109-Stoff!$P109*$D109)*EXP(-($F109+Stoff!$L109*365)*AT109)</f>
        <v>#VALUE!</v>
      </c>
      <c r="AV109" s="291" t="e">
        <f>(Stoff!$P109*$D109)*EXP(-'1a. Spredningsmodell input'!$B$43*AT109)</f>
        <v>#VALUE!</v>
      </c>
      <c r="AW109" s="290" t="e">
        <f>($D109-Stoff!$P109*$D109-AU109)*($F109/($F109+Stoff!$L109*365))</f>
        <v>#VALUE!</v>
      </c>
      <c r="AX109" s="290" t="e">
        <f>(Stoff!$P109*$D109)-AV109</f>
        <v>#VALUE!</v>
      </c>
      <c r="AY109" s="290" t="e">
        <f>($O109+AW109)*EXP(-($N109+Stoff!$M109*365)*AT109)</f>
        <v>#VALUE!</v>
      </c>
      <c r="AZ109" s="290" t="e">
        <f>(Stoff!$P109*$O109+AX109)*EXP(-('1a. Spredningsmodell input'!$B$46)*AT109)</f>
        <v>#VALUE!</v>
      </c>
      <c r="BA109" s="292" t="e">
        <f>((AY109+AZ109)*1000000000)/('1a. Spredningsmodell input'!$B$45*1000)</f>
        <v>#VALUE!</v>
      </c>
      <c r="BB109" s="294" t="e">
        <f>0.001*BA109/('1a. Spredningsmodell input'!$C$25+'1a. Spredningsmodell input'!$C$26/Mellomregninger!$K109)</f>
        <v>#VALUE!</v>
      </c>
      <c r="BC109" s="294" t="e">
        <f>1000*BB109/$K109+AZ109*1000000000/('1a. Spredningsmodell input'!$B$45*1000)</f>
        <v>#VALUE!</v>
      </c>
      <c r="BD109" s="294" t="e">
        <f t="shared" si="38"/>
        <v>#VALUE!</v>
      </c>
      <c r="BE109" s="294" t="e">
        <f>AZ109*1000000000/('1a. Spredningsmodell input'!$B$45*1000)</f>
        <v>#VALUE!</v>
      </c>
      <c r="BF109" s="295">
        <f t="shared" si="61"/>
        <v>20</v>
      </c>
      <c r="BG109" s="290" t="e">
        <f>($D109-Stoff!$P109*$D109)*EXP(-($F109+Stoff!$L109*365)*BF109)</f>
        <v>#VALUE!</v>
      </c>
      <c r="BH109" s="291" t="e">
        <f>(Stoff!$P109*$D109)*EXP(-'1a. Spredningsmodell input'!$B$43*BF109)</f>
        <v>#VALUE!</v>
      </c>
      <c r="BI109" s="290" t="e">
        <f>($D109-Stoff!$P109*$D109-BG109)*($F109/($F109+Stoff!$L109*365))</f>
        <v>#VALUE!</v>
      </c>
      <c r="BJ109" s="290" t="e">
        <f>(Stoff!$P109*$D109)-BH109</f>
        <v>#VALUE!</v>
      </c>
      <c r="BK109" s="290" t="e">
        <f>($O109+BI109)*EXP(-($N109+Stoff!$M109*365)*BF109)</f>
        <v>#VALUE!</v>
      </c>
      <c r="BL109" s="290" t="e">
        <f>(Stoff!$P109*$O109+BJ109)*EXP(-('1a. Spredningsmodell input'!$B$46)*BF109)</f>
        <v>#VALUE!</v>
      </c>
      <c r="BM109" s="292" t="e">
        <f>((BK109+BL109)*1000000000)/('1a. Spredningsmodell input'!$B$45*1000)</f>
        <v>#VALUE!</v>
      </c>
      <c r="BN109" s="294" t="e">
        <f>0.001*BM109/('1a. Spredningsmodell input'!$C$25+'1a. Spredningsmodell input'!$C$26/Mellomregninger!$K109)</f>
        <v>#VALUE!</v>
      </c>
      <c r="BO109" s="294" t="e">
        <f>1000*BN109/$K109+BL109*1000000000/('1a. Spredningsmodell input'!$B$45*1000)</f>
        <v>#VALUE!</v>
      </c>
      <c r="BP109" s="294" t="e">
        <f t="shared" si="40"/>
        <v>#VALUE!</v>
      </c>
      <c r="BQ109" s="294" t="e">
        <f>BL109*1000000000/('1a. Spredningsmodell input'!$B$45*1000)</f>
        <v>#VALUE!</v>
      </c>
      <c r="BR109" s="295">
        <f t="shared" si="62"/>
        <v>100</v>
      </c>
      <c r="BS109" s="290" t="e">
        <f>($D109-Stoff!$P109*$D109)*EXP(-($F109+Stoff!$L109*365)*BR109)</f>
        <v>#VALUE!</v>
      </c>
      <c r="BT109" s="291" t="e">
        <f>(Stoff!$P109*$D109)*EXP(-'1a. Spredningsmodell input'!$B$43*BR109)</f>
        <v>#VALUE!</v>
      </c>
      <c r="BU109" s="290" t="e">
        <f>($D109-Stoff!$P109*$D109-BS109)*($F109/($F109+Stoff!$L109*365))</f>
        <v>#VALUE!</v>
      </c>
      <c r="BV109" s="290" t="e">
        <f>(Stoff!$P109*$D109)-BT109</f>
        <v>#VALUE!</v>
      </c>
      <c r="BW109" s="290" t="e">
        <f>($O109+BU109)*EXP(-($N109+Stoff!$M109*365)*BR109)</f>
        <v>#VALUE!</v>
      </c>
      <c r="BX109" s="290" t="e">
        <f>(Stoff!$P109*$O109+BV109)*EXP(-('1a. Spredningsmodell input'!$B$46)*BR109)</f>
        <v>#VALUE!</v>
      </c>
      <c r="BY109" s="292" t="e">
        <f>((BW109+BX109)*1000000000)/('1a. Spredningsmodell input'!$B$45*1000)</f>
        <v>#VALUE!</v>
      </c>
      <c r="BZ109" s="294" t="e">
        <f>0.001*BY109/('1a. Spredningsmodell input'!$C$25+'1a. Spredningsmodell input'!$C$26/Mellomregninger!$K109)</f>
        <v>#VALUE!</v>
      </c>
      <c r="CA109" s="294" t="e">
        <f>1000*BZ109/$K109+BX109*1000000000/('1a. Spredningsmodell input'!$B$45*1000)</f>
        <v>#VALUE!</v>
      </c>
      <c r="CB109" s="294" t="e">
        <f t="shared" si="42"/>
        <v>#VALUE!</v>
      </c>
      <c r="CC109" s="294" t="e">
        <f>BX109*1000000000/('1a. Spredningsmodell input'!$B$45*1000)</f>
        <v>#VALUE!</v>
      </c>
      <c r="CD109" s="294" t="e">
        <f>V109+'1a. Spredningsmodell input'!$C$35</f>
        <v>#VALUE!</v>
      </c>
      <c r="CE109" s="294" t="e">
        <f>($S109+$Q109*($O109+$I109*($D109*(1-Stoff!$P109))*(1-EXP(-($F109+Stoff!$L109*365)*CD109)))*(1-EXP(-($N109+Stoff!$M109*365)*CD109)))</f>
        <v>#VALUE!</v>
      </c>
      <c r="CF109" s="294" t="e">
        <f t="shared" si="43"/>
        <v>#VALUE!</v>
      </c>
      <c r="CG109" s="296" t="e">
        <f>(CF109/1000000)*'1a. Spredningsmodell input'!$B$49*'1a. Spredningsmodell input'!$C$35</f>
        <v>#VALUE!</v>
      </c>
      <c r="CH109" s="294" t="e">
        <f t="shared" si="44"/>
        <v>#VALUE!</v>
      </c>
      <c r="CI109" s="290" t="e">
        <f>(CH109/1000000)*'1a. Spredningsmodell input'!$B$49*'1a. Spredningsmodell input'!$C$35</f>
        <v>#VALUE!</v>
      </c>
      <c r="CJ109" s="297" t="e">
        <f>($S109)*EXP(-(Stoff!$N109*365+$U109)*CD109)+CG109</f>
        <v>#VALUE!</v>
      </c>
      <c r="CK109" s="297" t="e">
        <f>(Stoff!$P109*$S109+CI109)*EXP(-$T109*CD109)</f>
        <v>#VALUE!</v>
      </c>
      <c r="CL109" s="297" t="e">
        <f>(CJ109+CK109)*1000000000/('1a. Spredningsmodell input'!$C$36*1000)</f>
        <v>#VALUE!</v>
      </c>
      <c r="CM109" s="297" t="e">
        <f>$G109*(1-EXP(-'1a. Spredningsmodell input'!$B$43*Mellomregninger!CD109))*(1-EXP(-'1a. Spredningsmodell input'!$B$46*Mellomregninger!CD109))</f>
        <v>#VALUE!</v>
      </c>
      <c r="CN109" s="297"/>
      <c r="CO109" s="297"/>
      <c r="CP109" s="290">
        <f>IF(ISNUMBER(AH109),AH109+'1a. Spredningsmodell input'!$C$35,'1a. Spredningsmodell input'!$C$35)</f>
        <v>1</v>
      </c>
      <c r="CQ109" s="294" t="e">
        <f>($S109+$Q109*($O109+$I109*($D109*(1-Stoff!$P109))*(1-EXP(-($F109+Stoff!$L109*365)*CP109)))*(1-EXP(-($N109+Stoff!$M109*365)*CP109)))</f>
        <v>#VALUE!</v>
      </c>
      <c r="CR109" s="294" t="e">
        <f t="shared" si="45"/>
        <v>#VALUE!</v>
      </c>
      <c r="CS109" s="296" t="e">
        <f>(CR109/1000000)*('1a. Spredningsmodell input'!$B$49*'1a. Spredningsmodell input'!$C$35)</f>
        <v>#VALUE!</v>
      </c>
      <c r="CT109" s="294" t="e">
        <f t="shared" si="46"/>
        <v>#VALUE!</v>
      </c>
      <c r="CU109" s="290" t="e">
        <f>(CT109/1000000)*('1a. Spredningsmodell input'!$B$49)*'1a. Spredningsmodell input'!$C$35</f>
        <v>#VALUE!</v>
      </c>
      <c r="CV109" s="297" t="e">
        <f>($S109)*EXP(-(Stoff!$N109*365+$U109)*CP109)+CS109</f>
        <v>#VALUE!</v>
      </c>
      <c r="CW109" s="297" t="e">
        <f>(Stoff!$P109*$S109+CU109)*EXP(-$T109*CP109)</f>
        <v>#VALUE!</v>
      </c>
      <c r="CX109" s="297">
        <f>IF(ISERROR(CV109),0,(CV109+CW109)*1000000000/('1a. Spredningsmodell input'!$C$36*1000))</f>
        <v>0</v>
      </c>
      <c r="CY109" s="297" t="e">
        <f>$G109*(1-EXP(-'1a. Spredningsmodell input'!$B$43*Mellomregninger!CP109))*(1-EXP(-'1a. Spredningsmodell input'!$B$46*Mellomregninger!CP109))</f>
        <v>#VALUE!</v>
      </c>
      <c r="CZ109" s="297"/>
      <c r="DA109" s="297"/>
      <c r="DB109" s="262">
        <f t="shared" si="63"/>
        <v>5</v>
      </c>
      <c r="DC109" s="298" t="e">
        <f>($S109+$Q109*($O109+$I109*($D109*(1-Stoff!$P109))*(1-EXP(-($F109+Stoff!$L109*365)*DB109)))*(1-EXP(-($N109+Stoff!$M109*365)*DB109)))</f>
        <v>#VALUE!</v>
      </c>
      <c r="DD109" s="294" t="e">
        <f t="shared" si="48"/>
        <v>#VALUE!</v>
      </c>
      <c r="DE109" s="296" t="e">
        <f>(DD109/1000000)*('1a. Spredningsmodell input'!$B$49)*'1a. Spredningsmodell input'!$C$35</f>
        <v>#VALUE!</v>
      </c>
      <c r="DF109" s="294" t="e">
        <f t="shared" si="49"/>
        <v>#VALUE!</v>
      </c>
      <c r="DG109" s="290" t="e">
        <f>(DF109/1000000)*('1a. Spredningsmodell input'!$B$49)*'1a. Spredningsmodell input'!$C$35</f>
        <v>#VALUE!</v>
      </c>
      <c r="DH109" s="297" t="e">
        <f>($S109)*EXP(-(Stoff!$N109*365+$U109)*DB109)+DE109</f>
        <v>#VALUE!</v>
      </c>
      <c r="DI109" s="297" t="e">
        <f>(Stoff!$P109*$S109+DG109)*EXP(-$T109*DB109)</f>
        <v>#VALUE!</v>
      </c>
      <c r="DJ109" s="297" t="e">
        <f>(DH109+DI109)*1000000000/('1a. Spredningsmodell input'!$C$36*1000)</f>
        <v>#VALUE!</v>
      </c>
      <c r="DK109" s="297" t="e">
        <f>$G109*(1-EXP(-'1a. Spredningsmodell input'!$B$43*Mellomregninger!DB109))*(1-EXP(-'1a. Spredningsmodell input'!$B$46*Mellomregninger!DB109))</f>
        <v>#VALUE!</v>
      </c>
      <c r="DL109" s="297"/>
      <c r="DM109" s="297"/>
      <c r="DN109" s="262">
        <f t="shared" si="64"/>
        <v>20</v>
      </c>
      <c r="DO109" s="298" t="e">
        <f>($S109+$Q109*($O109+$I109*($D109*(1-Stoff!$P109))*(1-EXP(-($F109+Stoff!$L109*365)*DN109)))*(1-EXP(-($N109+Stoff!$M109*365)*DN109)))</f>
        <v>#VALUE!</v>
      </c>
      <c r="DP109" s="294" t="e">
        <f t="shared" si="51"/>
        <v>#VALUE!</v>
      </c>
      <c r="DQ109" s="296" t="e">
        <f>(DP109/1000000)*('1a. Spredningsmodell input'!$B$49)*'1a. Spredningsmodell input'!$C$35</f>
        <v>#VALUE!</v>
      </c>
      <c r="DR109" s="294" t="e">
        <f t="shared" si="52"/>
        <v>#VALUE!</v>
      </c>
      <c r="DS109" s="290" t="e">
        <f>(DR109/1000000)*('1a. Spredningsmodell input'!$B$49)*'1a. Spredningsmodell input'!$C$35</f>
        <v>#VALUE!</v>
      </c>
      <c r="DT109" s="297" t="e">
        <f>($S109)*EXP(-(Stoff!$N109*365+$U109)*DN109)+DQ109</f>
        <v>#VALUE!</v>
      </c>
      <c r="DU109" s="297" t="e">
        <f>(Stoff!$P109*$S109+DS109)*EXP(-$T109*DN109)</f>
        <v>#VALUE!</v>
      </c>
      <c r="DV109" s="297" t="e">
        <f>(DT109+DU109)*1000000000/('1a. Spredningsmodell input'!$C$36*1000)</f>
        <v>#VALUE!</v>
      </c>
      <c r="DW109" s="297" t="e">
        <f>$G109*(1-EXP(-'1a. Spredningsmodell input'!$B$43*Mellomregninger!DN109))*(1-EXP(-'1a. Spredningsmodell input'!$B$46*Mellomregninger!DN109))</f>
        <v>#VALUE!</v>
      </c>
      <c r="DX109" s="297"/>
      <c r="DY109" s="297"/>
      <c r="DZ109" s="262">
        <f t="shared" si="65"/>
        <v>100</v>
      </c>
      <c r="EA109" s="298" t="e">
        <f>($S109+$Q109*($O109+$I109*($D109*(1-Stoff!$P109))*(1-EXP(-($F109+Stoff!$L109*365)*DZ109)))*(1-EXP(-($N109+Stoff!$M109*365)*DZ109)))</f>
        <v>#VALUE!</v>
      </c>
      <c r="EB109" s="294" t="e">
        <f t="shared" si="54"/>
        <v>#VALUE!</v>
      </c>
      <c r="EC109" s="296" t="e">
        <f>(EB109/1000000)*('1a. Spredningsmodell input'!$B$49)*'1a. Spredningsmodell input'!$C$35</f>
        <v>#VALUE!</v>
      </c>
      <c r="ED109" s="294" t="e">
        <f t="shared" si="55"/>
        <v>#VALUE!</v>
      </c>
      <c r="EE109" s="290" t="e">
        <f>(ED109/1000000)*('1a. Spredningsmodell input'!$B$49)*'1a. Spredningsmodell input'!$C$35</f>
        <v>#VALUE!</v>
      </c>
      <c r="EF109" s="297" t="e">
        <f>($S109)*EXP(-(Stoff!$N109*365+$U109)*DZ109)+EC109</f>
        <v>#VALUE!</v>
      </c>
      <c r="EG109" s="297" t="e">
        <f>(Stoff!$P109*$S109+EE109)*EXP(-$T109*DZ109)</f>
        <v>#VALUE!</v>
      </c>
      <c r="EH109" s="297" t="e">
        <f>(EF109+EG109)*1000000000/('1a. Spredningsmodell input'!$C$36*1000)</f>
        <v>#VALUE!</v>
      </c>
      <c r="EI109" s="297" t="e">
        <f>$G109*(1-EXP(-'1a. Spredningsmodell input'!$B$43*Mellomregninger!DZ109))*(1-EXP(-'1a. Spredningsmodell input'!$B$46*Mellomregninger!DZ109))</f>
        <v>#VALUE!</v>
      </c>
      <c r="EJ109" s="297"/>
      <c r="EK109" s="297"/>
      <c r="EL109" s="262">
        <f t="shared" si="66"/>
        <v>1.0000000000000001E+25</v>
      </c>
      <c r="EM109" s="294" t="e">
        <f>($S109+$Q109*($O109+$I109*($D109*(1-Stoff!$P109))*(1-EXP(-($F109+Stoff!$L109*365)*EL109)))*(1-EXP(-($N109+Stoff!$M109*365)*EL109)))</f>
        <v>#VALUE!</v>
      </c>
      <c r="EN109" s="296" t="e">
        <f>($S109+$Q109*($O109+$I109*($D109*(1-Stoff!$P109))*(1-EXP(-($F109+Stoff!$L109*365)*(EL109-'1a. Spredningsmodell input'!$C$35))))*(1-EXP(-($N109+Stoff!$M109*365)*(EL109-'1a. Spredningsmodell input'!$C$35))))</f>
        <v>#VALUE!</v>
      </c>
      <c r="EO109" s="294" t="e">
        <f>IF(EL109&lt;'1a. Spredningsmodell input'!$C$35,EM109-($S109)*EXP(-(Stoff!$N109*365+$U109)*EL109),EM109-EN109)</f>
        <v>#VALUE!</v>
      </c>
      <c r="EP109" s="290" t="e">
        <f>((($D109*(Stoff!$P109))*(1-EXP(-'1a. Spredningsmodell input'!$B$43*EL109)))*(1-EXP(-'1a. Spredningsmodell input'!$B$46*EL109)))</f>
        <v>#VALUE!</v>
      </c>
      <c r="EQ109" s="294" t="e">
        <f>((($D109*(Stoff!$P109))*(1-EXP(-'1a. Spredningsmodell input'!$B$43*(EL109-'1a. Spredningsmodell input'!$C$35))))*(1-EXP(-'1a. Spredningsmodell input'!$B$46*(EL109-'1a. Spredningsmodell input'!$C$35))))</f>
        <v>#VALUE!</v>
      </c>
      <c r="ER109" s="290" t="e">
        <f>IF(EL109&lt;'1a. Spredningsmodell input'!$C$35,0,EP109-EQ109)</f>
        <v>#VALUE!</v>
      </c>
      <c r="ES109" s="297" t="e">
        <f>($S109)*EXP(-(Stoff!$N109*365+$U109)*EL109)+EO109</f>
        <v>#VALUE!</v>
      </c>
      <c r="ET109" s="297" t="e">
        <f>(Stoff!$P109*$S109+ER109)*EXP(-$T109*EL109)</f>
        <v>#VALUE!</v>
      </c>
      <c r="EU109" s="297" t="e">
        <f>(ES109+ET109)*1000000000/('1a. Spredningsmodell input'!$C$36*1000)</f>
        <v>#VALUE!</v>
      </c>
      <c r="EV109" s="262" t="e">
        <f t="shared" si="67"/>
        <v>#VALUE!</v>
      </c>
      <c r="EW109" s="299" t="e">
        <f t="shared" si="68"/>
        <v>#VALUE!</v>
      </c>
      <c r="EX109" s="262" t="e">
        <f t="shared" si="69"/>
        <v>#VALUE!</v>
      </c>
    </row>
    <row r="110" spans="1:154" x14ac:dyDescent="0.35">
      <c r="A110" s="301" t="str">
        <f>Stoff!A110</f>
        <v>nystoff 24</v>
      </c>
      <c r="B110" s="34" t="str">
        <f>IF(ISNUMBER('1c. Kons. porevann'!E110),1000*'1c. Kons. porevann'!E110,IF(ISNUMBER('1b. Kons. umettet jord'!E110),1000*'1b. Kons. umettet jord'!E110/C110,""))</f>
        <v/>
      </c>
      <c r="C110" s="244">
        <f>IF(Stoff!B110="uorganisk",Stoff!C110,Stoff!D110*'1a. Spredningsmodell input'!$C$11)</f>
        <v>0</v>
      </c>
      <c r="D110" s="34" t="str">
        <f>IF(ISNUMBER(B110),0.000001*('1b. Kons. umettet jord'!G110*'1a. Spredningsmodell input'!$C$12+B110*0.001*'1a. Spredningsmodell input'!$C$14)*1000*'1a. Spredningsmodell input'!$B$41*'1a. Spredningsmodell input'!$C$18,"")</f>
        <v/>
      </c>
      <c r="E110" s="283">
        <f>C110*'1a. Spredningsmodell input'!$C$12/'1a. Spredningsmodell input'!$C$14+1</f>
        <v>1</v>
      </c>
      <c r="F110" s="284">
        <f>'1a. Spredningsmodell input'!$B$43/E110</f>
        <v>1.4999999999999998</v>
      </c>
      <c r="G110" s="34" t="e">
        <f>Stoff!P110*Mellomregninger!D110</f>
        <v>#VALUE!</v>
      </c>
      <c r="H110" s="283" t="e">
        <f>(D110-G110)*(F110/(F110+Stoff!L110))</f>
        <v>#VALUE!</v>
      </c>
      <c r="I110" s="283">
        <f>F110/(F110+Stoff!L110)</f>
        <v>1</v>
      </c>
      <c r="J110" s="285" t="str">
        <f>IF(B110="","",IF(ISNUMBER('1d. Kons. mettet sone'!E110),'1d. Kons. mettet sone'!E110,IF(ISNUMBER('1e. Kons. grunnvann'!E110),'1e. Kons. grunnvann'!E110*Mellomregninger!K110,0)))</f>
        <v/>
      </c>
      <c r="K110" s="286">
        <f>IF(Stoff!B110="uorganisk",Stoff!C110,Stoff!D110*'1a. Spredningsmodell input'!$C$24)</f>
        <v>0</v>
      </c>
      <c r="L110" s="27" t="e">
        <f>IF(ISNUMBER('1e. Kons. grunnvann'!E110),1000*'1e. Kons. grunnvann'!E110,1000*J110/K110)</f>
        <v>#VALUE!</v>
      </c>
      <c r="M110" s="34">
        <f>K110*'1a. Spredningsmodell input'!$C$25/'1a. Spredningsmodell input'!$C$26+1</f>
        <v>1</v>
      </c>
      <c r="N110" s="284">
        <f>'1a. Spredningsmodell input'!$C$26/M110</f>
        <v>0.4</v>
      </c>
      <c r="O110" s="287" t="e">
        <f>0.000000001*(J110*'1a. Spredningsmodell input'!$C$25+L110)*1000*'1a. Spredningsmodell input'!$B$45</f>
        <v>#VALUE!</v>
      </c>
      <c r="P110" s="287" t="e">
        <f>O110*Stoff!P110</f>
        <v>#VALUE!</v>
      </c>
      <c r="Q110" s="287">
        <f>N110/(N110+Stoff!M110)</f>
        <v>1</v>
      </c>
      <c r="R110" s="288">
        <f>IF(ISNUMBER('1f. Kons. resipient'!E110),'1f. Kons. resipient'!E110,0)</f>
        <v>0</v>
      </c>
      <c r="S110" s="288">
        <f>0.000000001*'1a. Spredningsmodell input'!$C$36*R110*1000</f>
        <v>0</v>
      </c>
      <c r="T110" s="288">
        <f>1/'1a. Spredningsmodell input'!$C$35</f>
        <v>1</v>
      </c>
      <c r="U110" s="288">
        <f>1/'1a. Spredningsmodell input'!$C$35</f>
        <v>1</v>
      </c>
      <c r="V110" s="300" t="e">
        <f>(1/($N110+Stoff!$L110))*(LN(($D110*$I110/($D110*$I110+$J110))*($F110+Stoff!$L110+$N110+Stoff!$M110)/($N110+Stoff!$M110)))</f>
        <v>#VALUE!</v>
      </c>
      <c r="W110" s="290" t="e">
        <f>($D110-Stoff!$P110*$D110)*EXP(-($F110+Stoff!$L110*365)*V110)</f>
        <v>#VALUE!</v>
      </c>
      <c r="X110" s="291" t="e">
        <f>(Stoff!$P110*$D110)*EXP(-'1a. Spredningsmodell input'!$B$43*V110)</f>
        <v>#VALUE!</v>
      </c>
      <c r="Y110" s="290" t="e">
        <f>($D110-Stoff!$P110*$D110-W110)*($F110/($F110+Stoff!$L110*365))</f>
        <v>#VALUE!</v>
      </c>
      <c r="Z110" s="290" t="e">
        <f>(Stoff!$P110*$D110)-X110</f>
        <v>#VALUE!</v>
      </c>
      <c r="AA110" s="290" t="e">
        <f>($O110+Y110)*EXP(-($N110+Stoff!$M110*365)*V110)</f>
        <v>#VALUE!</v>
      </c>
      <c r="AB110" s="290" t="e">
        <f>(Stoff!$P110*$O110+Z110)*EXP(-('1a. Spredningsmodell input'!$B$46)*V110)</f>
        <v>#VALUE!</v>
      </c>
      <c r="AC110" s="292" t="e">
        <f>((AA110+AB110)*1000000000)/('1a. Spredningsmodell input'!$B$45*1000)</f>
        <v>#VALUE!</v>
      </c>
      <c r="AD110" s="294" t="e">
        <f>0.001*AC110/('1a. Spredningsmodell input'!$C$25+'1a. Spredningsmodell input'!$C$26/Mellomregninger!$K110)</f>
        <v>#VALUE!</v>
      </c>
      <c r="AE110" s="294" t="e">
        <f>1000*AD110/$K110+AB110*1000000000/('1a. Spredningsmodell input'!$B$45*1000)</f>
        <v>#VALUE!</v>
      </c>
      <c r="AF110" s="294" t="e">
        <f t="shared" si="35"/>
        <v>#VALUE!</v>
      </c>
      <c r="AG110" s="294" t="e">
        <f>AB110*1000000000/('1a. Spredningsmodell input'!$B$45*1000)</f>
        <v>#VALUE!</v>
      </c>
      <c r="AH110" s="300" t="e">
        <f>(1/('1a. Spredningsmodell input'!$B$46))*(LN(($D110*Stoff!$P110/($D110*Stoff!$P110+$P110*Stoff!$P110))*('1a. Spredningsmodell input'!$B$43+'1a. Spredningsmodell input'!$B$46)/('1a. Spredningsmodell input'!$B$46)))</f>
        <v>#VALUE!</v>
      </c>
      <c r="AI110" s="290" t="e">
        <f>($D110-Stoff!$P110*$D110)*EXP(-($F110+Stoff!$L110*365)*AH110)</f>
        <v>#VALUE!</v>
      </c>
      <c r="AJ110" s="291" t="e">
        <f>(Stoff!$P110*$D110)*EXP(-'1a. Spredningsmodell input'!$B$43*AH110)</f>
        <v>#VALUE!</v>
      </c>
      <c r="AK110" s="290" t="e">
        <f>($D110-Stoff!$P110*$D110-AI110)*($F110/($F110+Stoff!$L110*365))</f>
        <v>#VALUE!</v>
      </c>
      <c r="AL110" s="290" t="e">
        <f>(Stoff!$P110*$D110)-AJ110</f>
        <v>#VALUE!</v>
      </c>
      <c r="AM110" s="290" t="e">
        <f>($O110+AK110)*EXP(-($N110+Stoff!$M110*365)*AH110)</f>
        <v>#VALUE!</v>
      </c>
      <c r="AN110" s="290" t="e">
        <f>(Stoff!$P110*$O110+AL110)*EXP(-('1a. Spredningsmodell input'!$B$46)*AH110)</f>
        <v>#VALUE!</v>
      </c>
      <c r="AO110" s="292" t="e">
        <f>((AM110+AN110)*1000000000)/('1a. Spredningsmodell input'!$B$45*1000)</f>
        <v>#VALUE!</v>
      </c>
      <c r="AP110" s="294" t="e">
        <f>0.001*AO110/('1a. Spredningsmodell input'!$C$25+'1a. Spredningsmodell input'!$C$26/Mellomregninger!$K110)</f>
        <v>#VALUE!</v>
      </c>
      <c r="AQ110" s="294" t="e">
        <f>1000*AP110/$K110+AN110*1000000000/('1a. Spredningsmodell input'!$B$45*1000)</f>
        <v>#VALUE!</v>
      </c>
      <c r="AR110" s="294" t="e">
        <f t="shared" si="36"/>
        <v>#VALUE!</v>
      </c>
      <c r="AS110" s="294" t="e">
        <f>AN110*1000000000/('1a. Spredningsmodell input'!$B$45*1000)</f>
        <v>#VALUE!</v>
      </c>
      <c r="AT110" s="295">
        <f t="shared" si="60"/>
        <v>5</v>
      </c>
      <c r="AU110" s="290" t="e">
        <f>($D110-Stoff!$P110*$D110)*EXP(-($F110+Stoff!$L110*365)*AT110)</f>
        <v>#VALUE!</v>
      </c>
      <c r="AV110" s="291" t="e">
        <f>(Stoff!$P110*$D110)*EXP(-'1a. Spredningsmodell input'!$B$43*AT110)</f>
        <v>#VALUE!</v>
      </c>
      <c r="AW110" s="290" t="e">
        <f>($D110-Stoff!$P110*$D110-AU110)*($F110/($F110+Stoff!$L110*365))</f>
        <v>#VALUE!</v>
      </c>
      <c r="AX110" s="290" t="e">
        <f>(Stoff!$P110*$D110)-AV110</f>
        <v>#VALUE!</v>
      </c>
      <c r="AY110" s="290" t="e">
        <f>($O110+AW110)*EXP(-($N110+Stoff!$M110*365)*AT110)</f>
        <v>#VALUE!</v>
      </c>
      <c r="AZ110" s="290" t="e">
        <f>(Stoff!$P110*$O110+AX110)*EXP(-('1a. Spredningsmodell input'!$B$46)*AT110)</f>
        <v>#VALUE!</v>
      </c>
      <c r="BA110" s="292" t="e">
        <f>((AY110+AZ110)*1000000000)/('1a. Spredningsmodell input'!$B$45*1000)</f>
        <v>#VALUE!</v>
      </c>
      <c r="BB110" s="294" t="e">
        <f>0.001*BA110/('1a. Spredningsmodell input'!$C$25+'1a. Spredningsmodell input'!$C$26/Mellomregninger!$K110)</f>
        <v>#VALUE!</v>
      </c>
      <c r="BC110" s="294" t="e">
        <f>1000*BB110/$K110+AZ110*1000000000/('1a. Spredningsmodell input'!$B$45*1000)</f>
        <v>#VALUE!</v>
      </c>
      <c r="BD110" s="294" t="e">
        <f t="shared" si="38"/>
        <v>#VALUE!</v>
      </c>
      <c r="BE110" s="294" t="e">
        <f>AZ110*1000000000/('1a. Spredningsmodell input'!$B$45*1000)</f>
        <v>#VALUE!</v>
      </c>
      <c r="BF110" s="295">
        <f t="shared" si="61"/>
        <v>20</v>
      </c>
      <c r="BG110" s="290" t="e">
        <f>($D110-Stoff!$P110*$D110)*EXP(-($F110+Stoff!$L110*365)*BF110)</f>
        <v>#VALUE!</v>
      </c>
      <c r="BH110" s="291" t="e">
        <f>(Stoff!$P110*$D110)*EXP(-'1a. Spredningsmodell input'!$B$43*BF110)</f>
        <v>#VALUE!</v>
      </c>
      <c r="BI110" s="290" t="e">
        <f>($D110-Stoff!$P110*$D110-BG110)*($F110/($F110+Stoff!$L110*365))</f>
        <v>#VALUE!</v>
      </c>
      <c r="BJ110" s="290" t="e">
        <f>(Stoff!$P110*$D110)-BH110</f>
        <v>#VALUE!</v>
      </c>
      <c r="BK110" s="290" t="e">
        <f>($O110+BI110)*EXP(-($N110+Stoff!$M110*365)*BF110)</f>
        <v>#VALUE!</v>
      </c>
      <c r="BL110" s="290" t="e">
        <f>(Stoff!$P110*$O110+BJ110)*EXP(-('1a. Spredningsmodell input'!$B$46)*BF110)</f>
        <v>#VALUE!</v>
      </c>
      <c r="BM110" s="292" t="e">
        <f>((BK110+BL110)*1000000000)/('1a. Spredningsmodell input'!$B$45*1000)</f>
        <v>#VALUE!</v>
      </c>
      <c r="BN110" s="294" t="e">
        <f>0.001*BM110/('1a. Spredningsmodell input'!$C$25+'1a. Spredningsmodell input'!$C$26/Mellomregninger!$K110)</f>
        <v>#VALUE!</v>
      </c>
      <c r="BO110" s="294" t="e">
        <f>1000*BN110/$K110+BL110*1000000000/('1a. Spredningsmodell input'!$B$45*1000)</f>
        <v>#VALUE!</v>
      </c>
      <c r="BP110" s="294" t="e">
        <f t="shared" si="40"/>
        <v>#VALUE!</v>
      </c>
      <c r="BQ110" s="294" t="e">
        <f>BL110*1000000000/('1a. Spredningsmodell input'!$B$45*1000)</f>
        <v>#VALUE!</v>
      </c>
      <c r="BR110" s="295">
        <f t="shared" si="62"/>
        <v>100</v>
      </c>
      <c r="BS110" s="290" t="e">
        <f>($D110-Stoff!$P110*$D110)*EXP(-($F110+Stoff!$L110*365)*BR110)</f>
        <v>#VALUE!</v>
      </c>
      <c r="BT110" s="291" t="e">
        <f>(Stoff!$P110*$D110)*EXP(-'1a. Spredningsmodell input'!$B$43*BR110)</f>
        <v>#VALUE!</v>
      </c>
      <c r="BU110" s="290" t="e">
        <f>($D110-Stoff!$P110*$D110-BS110)*($F110/($F110+Stoff!$L110*365))</f>
        <v>#VALUE!</v>
      </c>
      <c r="BV110" s="290" t="e">
        <f>(Stoff!$P110*$D110)-BT110</f>
        <v>#VALUE!</v>
      </c>
      <c r="BW110" s="290" t="e">
        <f>($O110+BU110)*EXP(-($N110+Stoff!$M110*365)*BR110)</f>
        <v>#VALUE!</v>
      </c>
      <c r="BX110" s="290" t="e">
        <f>(Stoff!$P110*$O110+BV110)*EXP(-('1a. Spredningsmodell input'!$B$46)*BR110)</f>
        <v>#VALUE!</v>
      </c>
      <c r="BY110" s="292" t="e">
        <f>((BW110+BX110)*1000000000)/('1a. Spredningsmodell input'!$B$45*1000)</f>
        <v>#VALUE!</v>
      </c>
      <c r="BZ110" s="294" t="e">
        <f>0.001*BY110/('1a. Spredningsmodell input'!$C$25+'1a. Spredningsmodell input'!$C$26/Mellomregninger!$K110)</f>
        <v>#VALUE!</v>
      </c>
      <c r="CA110" s="294" t="e">
        <f>1000*BZ110/$K110+BX110*1000000000/('1a. Spredningsmodell input'!$B$45*1000)</f>
        <v>#VALUE!</v>
      </c>
      <c r="CB110" s="294" t="e">
        <f t="shared" si="42"/>
        <v>#VALUE!</v>
      </c>
      <c r="CC110" s="294" t="e">
        <f>BX110*1000000000/('1a. Spredningsmodell input'!$B$45*1000)</f>
        <v>#VALUE!</v>
      </c>
      <c r="CD110" s="294" t="e">
        <f>V110+'1a. Spredningsmodell input'!$C$35</f>
        <v>#VALUE!</v>
      </c>
      <c r="CE110" s="294" t="e">
        <f>($S110+$Q110*($O110+$I110*($D110*(1-Stoff!$P110))*(1-EXP(-($F110+Stoff!$L110*365)*CD110)))*(1-EXP(-($N110+Stoff!$M110*365)*CD110)))</f>
        <v>#VALUE!</v>
      </c>
      <c r="CF110" s="294" t="e">
        <f t="shared" si="43"/>
        <v>#VALUE!</v>
      </c>
      <c r="CG110" s="296" t="e">
        <f>(CF110/1000000)*'1a. Spredningsmodell input'!$B$49*'1a. Spredningsmodell input'!$C$35</f>
        <v>#VALUE!</v>
      </c>
      <c r="CH110" s="294" t="e">
        <f t="shared" si="44"/>
        <v>#VALUE!</v>
      </c>
      <c r="CI110" s="290" t="e">
        <f>(CH110/1000000)*'1a. Spredningsmodell input'!$B$49*'1a. Spredningsmodell input'!$C$35</f>
        <v>#VALUE!</v>
      </c>
      <c r="CJ110" s="297" t="e">
        <f>($S110)*EXP(-(Stoff!$N110*365+$U110)*CD110)+CG110</f>
        <v>#VALUE!</v>
      </c>
      <c r="CK110" s="297" t="e">
        <f>(Stoff!$P110*$S110+CI110)*EXP(-$T110*CD110)</f>
        <v>#VALUE!</v>
      </c>
      <c r="CL110" s="297" t="e">
        <f>(CJ110+CK110)*1000000000/('1a. Spredningsmodell input'!$C$36*1000)</f>
        <v>#VALUE!</v>
      </c>
      <c r="CM110" s="297" t="e">
        <f>$G110*(1-EXP(-'1a. Spredningsmodell input'!$B$43*Mellomregninger!CD110))*(1-EXP(-'1a. Spredningsmodell input'!$B$46*Mellomregninger!CD110))</f>
        <v>#VALUE!</v>
      </c>
      <c r="CN110" s="297"/>
      <c r="CO110" s="297"/>
      <c r="CP110" s="290">
        <f>IF(ISNUMBER(AH110),AH110+'1a. Spredningsmodell input'!$C$35,'1a. Spredningsmodell input'!$C$35)</f>
        <v>1</v>
      </c>
      <c r="CQ110" s="294" t="e">
        <f>($S110+$Q110*($O110+$I110*($D110*(1-Stoff!$P110))*(1-EXP(-($F110+Stoff!$L110*365)*CP110)))*(1-EXP(-($N110+Stoff!$M110*365)*CP110)))</f>
        <v>#VALUE!</v>
      </c>
      <c r="CR110" s="294" t="e">
        <f t="shared" si="45"/>
        <v>#VALUE!</v>
      </c>
      <c r="CS110" s="296" t="e">
        <f>(CR110/1000000)*('1a. Spredningsmodell input'!$B$49*'1a. Spredningsmodell input'!$C$35)</f>
        <v>#VALUE!</v>
      </c>
      <c r="CT110" s="294" t="e">
        <f t="shared" si="46"/>
        <v>#VALUE!</v>
      </c>
      <c r="CU110" s="290" t="e">
        <f>(CT110/1000000)*('1a. Spredningsmodell input'!$B$49)*'1a. Spredningsmodell input'!$C$35</f>
        <v>#VALUE!</v>
      </c>
      <c r="CV110" s="297" t="e">
        <f>($S110)*EXP(-(Stoff!$N110*365+$U110)*CP110)+CS110</f>
        <v>#VALUE!</v>
      </c>
      <c r="CW110" s="297" t="e">
        <f>(Stoff!$P110*$S110+CU110)*EXP(-$T110*CP110)</f>
        <v>#VALUE!</v>
      </c>
      <c r="CX110" s="297">
        <f>IF(ISERROR(CV110),0,(CV110+CW110)*1000000000/('1a. Spredningsmodell input'!$C$36*1000))</f>
        <v>0</v>
      </c>
      <c r="CY110" s="297" t="e">
        <f>$G110*(1-EXP(-'1a. Spredningsmodell input'!$B$43*Mellomregninger!CP110))*(1-EXP(-'1a. Spredningsmodell input'!$B$46*Mellomregninger!CP110))</f>
        <v>#VALUE!</v>
      </c>
      <c r="CZ110" s="297"/>
      <c r="DA110" s="297"/>
      <c r="DB110" s="262">
        <f t="shared" si="63"/>
        <v>5</v>
      </c>
      <c r="DC110" s="298" t="e">
        <f>($S110+$Q110*($O110+$I110*($D110*(1-Stoff!$P110))*(1-EXP(-($F110+Stoff!$L110*365)*DB110)))*(1-EXP(-($N110+Stoff!$M110*365)*DB110)))</f>
        <v>#VALUE!</v>
      </c>
      <c r="DD110" s="294" t="e">
        <f t="shared" si="48"/>
        <v>#VALUE!</v>
      </c>
      <c r="DE110" s="296" t="e">
        <f>(DD110/1000000)*('1a. Spredningsmodell input'!$B$49)*'1a. Spredningsmodell input'!$C$35</f>
        <v>#VALUE!</v>
      </c>
      <c r="DF110" s="294" t="e">
        <f t="shared" si="49"/>
        <v>#VALUE!</v>
      </c>
      <c r="DG110" s="290" t="e">
        <f>(DF110/1000000)*('1a. Spredningsmodell input'!$B$49)*'1a. Spredningsmodell input'!$C$35</f>
        <v>#VALUE!</v>
      </c>
      <c r="DH110" s="297" t="e">
        <f>($S110)*EXP(-(Stoff!$N110*365+$U110)*DB110)+DE110</f>
        <v>#VALUE!</v>
      </c>
      <c r="DI110" s="297" t="e">
        <f>(Stoff!$P110*$S110+DG110)*EXP(-$T110*DB110)</f>
        <v>#VALUE!</v>
      </c>
      <c r="DJ110" s="297" t="e">
        <f>(DH110+DI110)*1000000000/('1a. Spredningsmodell input'!$C$36*1000)</f>
        <v>#VALUE!</v>
      </c>
      <c r="DK110" s="297" t="e">
        <f>$G110*(1-EXP(-'1a. Spredningsmodell input'!$B$43*Mellomregninger!DB110))*(1-EXP(-'1a. Spredningsmodell input'!$B$46*Mellomregninger!DB110))</f>
        <v>#VALUE!</v>
      </c>
      <c r="DL110" s="297"/>
      <c r="DM110" s="297"/>
      <c r="DN110" s="262">
        <f t="shared" si="64"/>
        <v>20</v>
      </c>
      <c r="DO110" s="298" t="e">
        <f>($S110+$Q110*($O110+$I110*($D110*(1-Stoff!$P110))*(1-EXP(-($F110+Stoff!$L110*365)*DN110)))*(1-EXP(-($N110+Stoff!$M110*365)*DN110)))</f>
        <v>#VALUE!</v>
      </c>
      <c r="DP110" s="294" t="e">
        <f t="shared" si="51"/>
        <v>#VALUE!</v>
      </c>
      <c r="DQ110" s="296" t="e">
        <f>(DP110/1000000)*('1a. Spredningsmodell input'!$B$49)*'1a. Spredningsmodell input'!$C$35</f>
        <v>#VALUE!</v>
      </c>
      <c r="DR110" s="294" t="e">
        <f t="shared" si="52"/>
        <v>#VALUE!</v>
      </c>
      <c r="DS110" s="290" t="e">
        <f>(DR110/1000000)*('1a. Spredningsmodell input'!$B$49)*'1a. Spredningsmodell input'!$C$35</f>
        <v>#VALUE!</v>
      </c>
      <c r="DT110" s="297" t="e">
        <f>($S110)*EXP(-(Stoff!$N110*365+$U110)*DN110)+DQ110</f>
        <v>#VALUE!</v>
      </c>
      <c r="DU110" s="297" t="e">
        <f>(Stoff!$P110*$S110+DS110)*EXP(-$T110*DN110)</f>
        <v>#VALUE!</v>
      </c>
      <c r="DV110" s="297" t="e">
        <f>(DT110+DU110)*1000000000/('1a. Spredningsmodell input'!$C$36*1000)</f>
        <v>#VALUE!</v>
      </c>
      <c r="DW110" s="297" t="e">
        <f>$G110*(1-EXP(-'1a. Spredningsmodell input'!$B$43*Mellomregninger!DN110))*(1-EXP(-'1a. Spredningsmodell input'!$B$46*Mellomregninger!DN110))</f>
        <v>#VALUE!</v>
      </c>
      <c r="DX110" s="297"/>
      <c r="DY110" s="297"/>
      <c r="DZ110" s="262">
        <f t="shared" si="65"/>
        <v>100</v>
      </c>
      <c r="EA110" s="298" t="e">
        <f>($S110+$Q110*($O110+$I110*($D110*(1-Stoff!$P110))*(1-EXP(-($F110+Stoff!$L110*365)*DZ110)))*(1-EXP(-($N110+Stoff!$M110*365)*DZ110)))</f>
        <v>#VALUE!</v>
      </c>
      <c r="EB110" s="294" t="e">
        <f t="shared" si="54"/>
        <v>#VALUE!</v>
      </c>
      <c r="EC110" s="296" t="e">
        <f>(EB110/1000000)*('1a. Spredningsmodell input'!$B$49)*'1a. Spredningsmodell input'!$C$35</f>
        <v>#VALUE!</v>
      </c>
      <c r="ED110" s="294" t="e">
        <f t="shared" si="55"/>
        <v>#VALUE!</v>
      </c>
      <c r="EE110" s="290" t="e">
        <f>(ED110/1000000)*('1a. Spredningsmodell input'!$B$49)*'1a. Spredningsmodell input'!$C$35</f>
        <v>#VALUE!</v>
      </c>
      <c r="EF110" s="297" t="e">
        <f>($S110)*EXP(-(Stoff!$N110*365+$U110)*DZ110)+EC110</f>
        <v>#VALUE!</v>
      </c>
      <c r="EG110" s="297" t="e">
        <f>(Stoff!$P110*$S110+EE110)*EXP(-$T110*DZ110)</f>
        <v>#VALUE!</v>
      </c>
      <c r="EH110" s="297" t="e">
        <f>(EF110+EG110)*1000000000/('1a. Spredningsmodell input'!$C$36*1000)</f>
        <v>#VALUE!</v>
      </c>
      <c r="EI110" s="297" t="e">
        <f>$G110*(1-EXP(-'1a. Spredningsmodell input'!$B$43*Mellomregninger!DZ110))*(1-EXP(-'1a. Spredningsmodell input'!$B$46*Mellomregninger!DZ110))</f>
        <v>#VALUE!</v>
      </c>
      <c r="EJ110" s="297"/>
      <c r="EK110" s="297"/>
      <c r="EL110" s="262">
        <f t="shared" si="66"/>
        <v>1.0000000000000001E+25</v>
      </c>
      <c r="EM110" s="294" t="e">
        <f>($S110+$Q110*($O110+$I110*($D110*(1-Stoff!$P110))*(1-EXP(-($F110+Stoff!$L110*365)*EL110)))*(1-EXP(-($N110+Stoff!$M110*365)*EL110)))</f>
        <v>#VALUE!</v>
      </c>
      <c r="EN110" s="296" t="e">
        <f>($S110+$Q110*($O110+$I110*($D110*(1-Stoff!$P110))*(1-EXP(-($F110+Stoff!$L110*365)*(EL110-'1a. Spredningsmodell input'!$C$35))))*(1-EXP(-($N110+Stoff!$M110*365)*(EL110-'1a. Spredningsmodell input'!$C$35))))</f>
        <v>#VALUE!</v>
      </c>
      <c r="EO110" s="294" t="e">
        <f>IF(EL110&lt;'1a. Spredningsmodell input'!$C$35,EM110-($S110)*EXP(-(Stoff!$N110*365+$U110)*EL110),EM110-EN110)</f>
        <v>#VALUE!</v>
      </c>
      <c r="EP110" s="290" t="e">
        <f>((($D110*(Stoff!$P110))*(1-EXP(-'1a. Spredningsmodell input'!$B$43*EL110)))*(1-EXP(-'1a. Spredningsmodell input'!$B$46*EL110)))</f>
        <v>#VALUE!</v>
      </c>
      <c r="EQ110" s="294" t="e">
        <f>((($D110*(Stoff!$P110))*(1-EXP(-'1a. Spredningsmodell input'!$B$43*(EL110-'1a. Spredningsmodell input'!$C$35))))*(1-EXP(-'1a. Spredningsmodell input'!$B$46*(EL110-'1a. Spredningsmodell input'!$C$35))))</f>
        <v>#VALUE!</v>
      </c>
      <c r="ER110" s="290" t="e">
        <f>IF(EL110&lt;'1a. Spredningsmodell input'!$C$35,0,EP110-EQ110)</f>
        <v>#VALUE!</v>
      </c>
      <c r="ES110" s="297" t="e">
        <f>($S110)*EXP(-(Stoff!$N110*365+$U110)*EL110)+EO110</f>
        <v>#VALUE!</v>
      </c>
      <c r="ET110" s="297" t="e">
        <f>(Stoff!$P110*$S110+ER110)*EXP(-$T110*EL110)</f>
        <v>#VALUE!</v>
      </c>
      <c r="EU110" s="297" t="e">
        <f>(ES110+ET110)*1000000000/('1a. Spredningsmodell input'!$C$36*1000)</f>
        <v>#VALUE!</v>
      </c>
      <c r="EV110" s="262" t="e">
        <f t="shared" si="67"/>
        <v>#VALUE!</v>
      </c>
      <c r="EW110" s="299" t="e">
        <f t="shared" si="68"/>
        <v>#VALUE!</v>
      </c>
      <c r="EX110" s="262" t="e">
        <f t="shared" si="69"/>
        <v>#VALUE!</v>
      </c>
    </row>
    <row r="111" spans="1:154" x14ac:dyDescent="0.35">
      <c r="A111" s="301" t="str">
        <f>Stoff!A111</f>
        <v>nystoff 25</v>
      </c>
      <c r="B111" s="34" t="str">
        <f>IF(ISNUMBER('1c. Kons. porevann'!E111),1000*'1c. Kons. porevann'!E111,IF(ISNUMBER('1b. Kons. umettet jord'!E111),1000*'1b. Kons. umettet jord'!E111/C111,""))</f>
        <v/>
      </c>
      <c r="C111" s="244">
        <f>IF(Stoff!B111="uorganisk",Stoff!C111,Stoff!D111*'1a. Spredningsmodell input'!$C$11)</f>
        <v>0</v>
      </c>
      <c r="D111" s="34" t="str">
        <f>IF(ISNUMBER(B111),0.000001*('1b. Kons. umettet jord'!G111*'1a. Spredningsmodell input'!$C$12+B111*0.001*'1a. Spredningsmodell input'!$C$14)*1000*'1a. Spredningsmodell input'!$B$41*'1a. Spredningsmodell input'!$C$18,"")</f>
        <v/>
      </c>
      <c r="E111" s="283">
        <f>C111*'1a. Spredningsmodell input'!$C$12/'1a. Spredningsmodell input'!$C$14+1</f>
        <v>1</v>
      </c>
      <c r="F111" s="284">
        <f>'1a. Spredningsmodell input'!$B$43/E111</f>
        <v>1.4999999999999998</v>
      </c>
      <c r="G111" s="34" t="e">
        <f>Stoff!P111*Mellomregninger!D111</f>
        <v>#VALUE!</v>
      </c>
      <c r="H111" s="283" t="e">
        <f>(D111-G111)*(F111/(F111+Stoff!L111))</f>
        <v>#VALUE!</v>
      </c>
      <c r="I111" s="283">
        <f>F111/(F111+Stoff!L111)</f>
        <v>1</v>
      </c>
      <c r="J111" s="285" t="str">
        <f>IF(B111="","",IF(ISNUMBER('1d. Kons. mettet sone'!E111),'1d. Kons. mettet sone'!E111,IF(ISNUMBER('1e. Kons. grunnvann'!E111),'1e. Kons. grunnvann'!E111*Mellomregninger!K111,0)))</f>
        <v/>
      </c>
      <c r="K111" s="286">
        <f>IF(Stoff!B111="uorganisk",Stoff!C111,Stoff!D111*'1a. Spredningsmodell input'!$C$24)</f>
        <v>0</v>
      </c>
      <c r="L111" s="27" t="e">
        <f>IF(ISNUMBER('1e. Kons. grunnvann'!E111),1000*'1e. Kons. grunnvann'!E111,1000*J111/K111)</f>
        <v>#VALUE!</v>
      </c>
      <c r="M111" s="34">
        <f>K111*'1a. Spredningsmodell input'!$C$25/'1a. Spredningsmodell input'!$C$26+1</f>
        <v>1</v>
      </c>
      <c r="N111" s="284">
        <f>'1a. Spredningsmodell input'!$C$26/M111</f>
        <v>0.4</v>
      </c>
      <c r="O111" s="287" t="e">
        <f>0.000000001*(J111*'1a. Spredningsmodell input'!$C$25+L111)*1000*'1a. Spredningsmodell input'!$B$45</f>
        <v>#VALUE!</v>
      </c>
      <c r="P111" s="287" t="e">
        <f>O111*Stoff!P111</f>
        <v>#VALUE!</v>
      </c>
      <c r="Q111" s="287">
        <f>N111/(N111+Stoff!M111)</f>
        <v>1</v>
      </c>
      <c r="R111" s="288">
        <f>IF(ISNUMBER('1f. Kons. resipient'!E111),'1f. Kons. resipient'!E111,0)</f>
        <v>0</v>
      </c>
      <c r="S111" s="288">
        <f>0.000000001*'1a. Spredningsmodell input'!$C$36*R111*1000</f>
        <v>0</v>
      </c>
      <c r="T111" s="288">
        <f>1/'1a. Spredningsmodell input'!$C$35</f>
        <v>1</v>
      </c>
      <c r="U111" s="288">
        <f>1/'1a. Spredningsmodell input'!$C$35</f>
        <v>1</v>
      </c>
      <c r="V111" s="300" t="e">
        <f>(1/($N111+Stoff!$L111))*(LN(($D111*$I111/($D111*$I111+$J111))*($F111+Stoff!$L111+$N111+Stoff!$M111)/($N111+Stoff!$M111)))</f>
        <v>#VALUE!</v>
      </c>
      <c r="W111" s="290" t="e">
        <f>($D111-Stoff!$P111*$D111)*EXP(-($F111+Stoff!$L111*365)*V111)</f>
        <v>#VALUE!</v>
      </c>
      <c r="X111" s="291" t="e">
        <f>(Stoff!$P111*$D111)*EXP(-'1a. Spredningsmodell input'!$B$43*V111)</f>
        <v>#VALUE!</v>
      </c>
      <c r="Y111" s="290" t="e">
        <f>($D111-Stoff!$P111*$D111-W111)*($F111/($F111+Stoff!$L111*365))</f>
        <v>#VALUE!</v>
      </c>
      <c r="Z111" s="290" t="e">
        <f>(Stoff!$P111*$D111)-X111</f>
        <v>#VALUE!</v>
      </c>
      <c r="AA111" s="290" t="e">
        <f>($O111+Y111)*EXP(-($N111+Stoff!$M111*365)*V111)</f>
        <v>#VALUE!</v>
      </c>
      <c r="AB111" s="290" t="e">
        <f>(Stoff!$P111*$O111+Z111)*EXP(-('1a. Spredningsmodell input'!$B$46)*V111)</f>
        <v>#VALUE!</v>
      </c>
      <c r="AC111" s="292" t="e">
        <f>((AA111+AB111)*1000000000)/('1a. Spredningsmodell input'!$B$45*1000)</f>
        <v>#VALUE!</v>
      </c>
      <c r="AD111" s="294" t="e">
        <f>0.001*AC111/('1a. Spredningsmodell input'!$C$25+'1a. Spredningsmodell input'!$C$26/Mellomregninger!$K111)</f>
        <v>#VALUE!</v>
      </c>
      <c r="AE111" s="294" t="e">
        <f>1000*AD111/$K111+AB111*1000000000/('1a. Spredningsmodell input'!$B$45*1000)</f>
        <v>#VALUE!</v>
      </c>
      <c r="AF111" s="294" t="e">
        <f t="shared" si="35"/>
        <v>#VALUE!</v>
      </c>
      <c r="AG111" s="294" t="e">
        <f>AB111*1000000000/('1a. Spredningsmodell input'!$B$45*1000)</f>
        <v>#VALUE!</v>
      </c>
      <c r="AH111" s="300" t="e">
        <f>(1/('1a. Spredningsmodell input'!$B$46))*(LN(($D111*Stoff!$P111/($D111*Stoff!$P111+$P111*Stoff!$P111))*('1a. Spredningsmodell input'!$B$43+'1a. Spredningsmodell input'!$B$46)/('1a. Spredningsmodell input'!$B$46)))</f>
        <v>#VALUE!</v>
      </c>
      <c r="AI111" s="290" t="e">
        <f>($D111-Stoff!$P111*$D111)*EXP(-($F111+Stoff!$L111*365)*AH111)</f>
        <v>#VALUE!</v>
      </c>
      <c r="AJ111" s="291" t="e">
        <f>(Stoff!$P111*$D111)*EXP(-'1a. Spredningsmodell input'!$B$43*AH111)</f>
        <v>#VALUE!</v>
      </c>
      <c r="AK111" s="290" t="e">
        <f>($D111-Stoff!$P111*$D111-AI111)*($F111/($F111+Stoff!$L111*365))</f>
        <v>#VALUE!</v>
      </c>
      <c r="AL111" s="290" t="e">
        <f>(Stoff!$P111*$D111)-AJ111</f>
        <v>#VALUE!</v>
      </c>
      <c r="AM111" s="290" t="e">
        <f>($O111+AK111)*EXP(-($N111+Stoff!$M111*365)*AH111)</f>
        <v>#VALUE!</v>
      </c>
      <c r="AN111" s="290" t="e">
        <f>(Stoff!$P111*$O111+AL111)*EXP(-('1a. Spredningsmodell input'!$B$46)*AH111)</f>
        <v>#VALUE!</v>
      </c>
      <c r="AO111" s="292" t="e">
        <f>((AM111+AN111)*1000000000)/('1a. Spredningsmodell input'!$B$45*1000)</f>
        <v>#VALUE!</v>
      </c>
      <c r="AP111" s="294" t="e">
        <f>0.001*AO111/('1a. Spredningsmodell input'!$C$25+'1a. Spredningsmodell input'!$C$26/Mellomregninger!$K111)</f>
        <v>#VALUE!</v>
      </c>
      <c r="AQ111" s="294" t="e">
        <f>1000*AP111/$K111+AN111*1000000000/('1a. Spredningsmodell input'!$B$45*1000)</f>
        <v>#VALUE!</v>
      </c>
      <c r="AR111" s="294" t="e">
        <f t="shared" si="36"/>
        <v>#VALUE!</v>
      </c>
      <c r="AS111" s="294" t="e">
        <f>AN111*1000000000/('1a. Spredningsmodell input'!$B$45*1000)</f>
        <v>#VALUE!</v>
      </c>
      <c r="AT111" s="295">
        <f t="shared" si="60"/>
        <v>5</v>
      </c>
      <c r="AU111" s="290" t="e">
        <f>($D111-Stoff!$P111*$D111)*EXP(-($F111+Stoff!$L111*365)*AT111)</f>
        <v>#VALUE!</v>
      </c>
      <c r="AV111" s="291" t="e">
        <f>(Stoff!$P111*$D111)*EXP(-'1a. Spredningsmodell input'!$B$43*AT111)</f>
        <v>#VALUE!</v>
      </c>
      <c r="AW111" s="290" t="e">
        <f>($D111-Stoff!$P111*$D111-AU111)*($F111/($F111+Stoff!$L111*365))</f>
        <v>#VALUE!</v>
      </c>
      <c r="AX111" s="290" t="e">
        <f>(Stoff!$P111*$D111)-AV111</f>
        <v>#VALUE!</v>
      </c>
      <c r="AY111" s="290" t="e">
        <f>($O111+AW111)*EXP(-($N111+Stoff!$M111*365)*AT111)</f>
        <v>#VALUE!</v>
      </c>
      <c r="AZ111" s="290" t="e">
        <f>(Stoff!$P111*$O111+AX111)*EXP(-('1a. Spredningsmodell input'!$B$46)*AT111)</f>
        <v>#VALUE!</v>
      </c>
      <c r="BA111" s="292" t="e">
        <f>((AY111+AZ111)*1000000000)/('1a. Spredningsmodell input'!$B$45*1000)</f>
        <v>#VALUE!</v>
      </c>
      <c r="BB111" s="294" t="e">
        <f>0.001*BA111/('1a. Spredningsmodell input'!$C$25+'1a. Spredningsmodell input'!$C$26/Mellomregninger!$K111)</f>
        <v>#VALUE!</v>
      </c>
      <c r="BC111" s="294" t="e">
        <f>1000*BB111/$K111+AZ111*1000000000/('1a. Spredningsmodell input'!$B$45*1000)</f>
        <v>#VALUE!</v>
      </c>
      <c r="BD111" s="294" t="e">
        <f t="shared" si="38"/>
        <v>#VALUE!</v>
      </c>
      <c r="BE111" s="294" t="e">
        <f>AZ111*1000000000/('1a. Spredningsmodell input'!$B$45*1000)</f>
        <v>#VALUE!</v>
      </c>
      <c r="BF111" s="295">
        <f t="shared" si="61"/>
        <v>20</v>
      </c>
      <c r="BG111" s="290" t="e">
        <f>($D111-Stoff!$P111*$D111)*EXP(-($F111+Stoff!$L111*365)*BF111)</f>
        <v>#VALUE!</v>
      </c>
      <c r="BH111" s="291" t="e">
        <f>(Stoff!$P111*$D111)*EXP(-'1a. Spredningsmodell input'!$B$43*BF111)</f>
        <v>#VALUE!</v>
      </c>
      <c r="BI111" s="290" t="e">
        <f>($D111-Stoff!$P111*$D111-BG111)*($F111/($F111+Stoff!$L111*365))</f>
        <v>#VALUE!</v>
      </c>
      <c r="BJ111" s="290" t="e">
        <f>(Stoff!$P111*$D111)-BH111</f>
        <v>#VALUE!</v>
      </c>
      <c r="BK111" s="290" t="e">
        <f>($O111+BI111)*EXP(-($N111+Stoff!$M111*365)*BF111)</f>
        <v>#VALUE!</v>
      </c>
      <c r="BL111" s="290" t="e">
        <f>(Stoff!$P111*$O111+BJ111)*EXP(-('1a. Spredningsmodell input'!$B$46)*BF111)</f>
        <v>#VALUE!</v>
      </c>
      <c r="BM111" s="292" t="e">
        <f>((BK111+BL111)*1000000000)/('1a. Spredningsmodell input'!$B$45*1000)</f>
        <v>#VALUE!</v>
      </c>
      <c r="BN111" s="294" t="e">
        <f>0.001*BM111/('1a. Spredningsmodell input'!$C$25+'1a. Spredningsmodell input'!$C$26/Mellomregninger!$K111)</f>
        <v>#VALUE!</v>
      </c>
      <c r="BO111" s="294" t="e">
        <f>1000*BN111/$K111+BL111*1000000000/('1a. Spredningsmodell input'!$B$45*1000)</f>
        <v>#VALUE!</v>
      </c>
      <c r="BP111" s="294" t="e">
        <f t="shared" si="40"/>
        <v>#VALUE!</v>
      </c>
      <c r="BQ111" s="294" t="e">
        <f>BL111*1000000000/('1a. Spredningsmodell input'!$B$45*1000)</f>
        <v>#VALUE!</v>
      </c>
      <c r="BR111" s="295">
        <f t="shared" si="62"/>
        <v>100</v>
      </c>
      <c r="BS111" s="290" t="e">
        <f>($D111-Stoff!$P111*$D111)*EXP(-($F111+Stoff!$L111*365)*BR111)</f>
        <v>#VALUE!</v>
      </c>
      <c r="BT111" s="291" t="e">
        <f>(Stoff!$P111*$D111)*EXP(-'1a. Spredningsmodell input'!$B$43*BR111)</f>
        <v>#VALUE!</v>
      </c>
      <c r="BU111" s="290" t="e">
        <f>($D111-Stoff!$P111*$D111-BS111)*($F111/($F111+Stoff!$L111*365))</f>
        <v>#VALUE!</v>
      </c>
      <c r="BV111" s="290" t="e">
        <f>(Stoff!$P111*$D111)-BT111</f>
        <v>#VALUE!</v>
      </c>
      <c r="BW111" s="290" t="e">
        <f>($O111+BU111)*EXP(-($N111+Stoff!$M111*365)*BR111)</f>
        <v>#VALUE!</v>
      </c>
      <c r="BX111" s="290" t="e">
        <f>(Stoff!$P111*$O111+BV111)*EXP(-('1a. Spredningsmodell input'!$B$46)*BR111)</f>
        <v>#VALUE!</v>
      </c>
      <c r="BY111" s="292" t="e">
        <f>((BW111+BX111)*1000000000)/('1a. Spredningsmodell input'!$B$45*1000)</f>
        <v>#VALUE!</v>
      </c>
      <c r="BZ111" s="294" t="e">
        <f>0.001*BY111/('1a. Spredningsmodell input'!$C$25+'1a. Spredningsmodell input'!$C$26/Mellomregninger!$K111)</f>
        <v>#VALUE!</v>
      </c>
      <c r="CA111" s="294" t="e">
        <f>1000*BZ111/$K111+BX111*1000000000/('1a. Spredningsmodell input'!$B$45*1000)</f>
        <v>#VALUE!</v>
      </c>
      <c r="CB111" s="294" t="e">
        <f t="shared" si="42"/>
        <v>#VALUE!</v>
      </c>
      <c r="CC111" s="294" t="e">
        <f>BX111*1000000000/('1a. Spredningsmodell input'!$B$45*1000)</f>
        <v>#VALUE!</v>
      </c>
      <c r="CD111" s="294" t="e">
        <f>V111+'1a. Spredningsmodell input'!$C$35</f>
        <v>#VALUE!</v>
      </c>
      <c r="CE111" s="294" t="e">
        <f>($S111+$Q111*($O111+$I111*($D111*(1-Stoff!$P111))*(1-EXP(-($F111+Stoff!$L111*365)*CD111)))*(1-EXP(-($N111+Stoff!$M111*365)*CD111)))</f>
        <v>#VALUE!</v>
      </c>
      <c r="CF111" s="294" t="e">
        <f t="shared" si="43"/>
        <v>#VALUE!</v>
      </c>
      <c r="CG111" s="296" t="e">
        <f>(CF111/1000000)*'1a. Spredningsmodell input'!$B$49*'1a. Spredningsmodell input'!$C$35</f>
        <v>#VALUE!</v>
      </c>
      <c r="CH111" s="294" t="e">
        <f t="shared" si="44"/>
        <v>#VALUE!</v>
      </c>
      <c r="CI111" s="290" t="e">
        <f>(CH111/1000000)*'1a. Spredningsmodell input'!$B$49*'1a. Spredningsmodell input'!$C$35</f>
        <v>#VALUE!</v>
      </c>
      <c r="CJ111" s="297" t="e">
        <f>($S111)*EXP(-(Stoff!$N111*365+$U111)*CD111)+CG111</f>
        <v>#VALUE!</v>
      </c>
      <c r="CK111" s="297" t="e">
        <f>(Stoff!$P111*$S111+CI111)*EXP(-$T111*CD111)</f>
        <v>#VALUE!</v>
      </c>
      <c r="CL111" s="297" t="e">
        <f>(CJ111+CK111)*1000000000/('1a. Spredningsmodell input'!$C$36*1000)</f>
        <v>#VALUE!</v>
      </c>
      <c r="CM111" s="297" t="e">
        <f>$G111*(1-EXP(-'1a. Spredningsmodell input'!$B$43*Mellomregninger!CD111))*(1-EXP(-'1a. Spredningsmodell input'!$B$46*Mellomregninger!CD111))</f>
        <v>#VALUE!</v>
      </c>
      <c r="CN111" s="297"/>
      <c r="CO111" s="297"/>
      <c r="CP111" s="290">
        <f>IF(ISNUMBER(AH111),AH111+'1a. Spredningsmodell input'!$C$35,'1a. Spredningsmodell input'!$C$35)</f>
        <v>1</v>
      </c>
      <c r="CQ111" s="294" t="e">
        <f>($S111+$Q111*($O111+$I111*($D111*(1-Stoff!$P111))*(1-EXP(-($F111+Stoff!$L111*365)*CP111)))*(1-EXP(-($N111+Stoff!$M111*365)*CP111)))</f>
        <v>#VALUE!</v>
      </c>
      <c r="CR111" s="294" t="e">
        <f t="shared" si="45"/>
        <v>#VALUE!</v>
      </c>
      <c r="CS111" s="296" t="e">
        <f>(CR111/1000000)*('1a. Spredningsmodell input'!$B$49*'1a. Spredningsmodell input'!$C$35)</f>
        <v>#VALUE!</v>
      </c>
      <c r="CT111" s="294" t="e">
        <f t="shared" si="46"/>
        <v>#VALUE!</v>
      </c>
      <c r="CU111" s="290" t="e">
        <f>(CT111/1000000)*('1a. Spredningsmodell input'!$B$49)*'1a. Spredningsmodell input'!$C$35</f>
        <v>#VALUE!</v>
      </c>
      <c r="CV111" s="297" t="e">
        <f>($S111)*EXP(-(Stoff!$N111*365+$U111)*CP111)+CS111</f>
        <v>#VALUE!</v>
      </c>
      <c r="CW111" s="297" t="e">
        <f>(Stoff!$P111*$S111+CU111)*EXP(-$T111*CP111)</f>
        <v>#VALUE!</v>
      </c>
      <c r="CX111" s="297">
        <f>IF(ISERROR(CV111),0,(CV111+CW111)*1000000000/('1a. Spredningsmodell input'!$C$36*1000))</f>
        <v>0</v>
      </c>
      <c r="CY111" s="297" t="e">
        <f>$G111*(1-EXP(-'1a. Spredningsmodell input'!$B$43*Mellomregninger!CP111))*(1-EXP(-'1a. Spredningsmodell input'!$B$46*Mellomregninger!CP111))</f>
        <v>#VALUE!</v>
      </c>
      <c r="CZ111" s="297"/>
      <c r="DA111" s="297"/>
      <c r="DB111" s="262">
        <f t="shared" si="63"/>
        <v>5</v>
      </c>
      <c r="DC111" s="298" t="e">
        <f>($S111+$Q111*($O111+$I111*($D111*(1-Stoff!$P111))*(1-EXP(-($F111+Stoff!$L111*365)*DB111)))*(1-EXP(-($N111+Stoff!$M111*365)*DB111)))</f>
        <v>#VALUE!</v>
      </c>
      <c r="DD111" s="294" t="e">
        <f t="shared" si="48"/>
        <v>#VALUE!</v>
      </c>
      <c r="DE111" s="296" t="e">
        <f>(DD111/1000000)*('1a. Spredningsmodell input'!$B$49)*'1a. Spredningsmodell input'!$C$35</f>
        <v>#VALUE!</v>
      </c>
      <c r="DF111" s="294" t="e">
        <f t="shared" si="49"/>
        <v>#VALUE!</v>
      </c>
      <c r="DG111" s="290" t="e">
        <f>(DF111/1000000)*('1a. Spredningsmodell input'!$B$49)*'1a. Spredningsmodell input'!$C$35</f>
        <v>#VALUE!</v>
      </c>
      <c r="DH111" s="297" t="e">
        <f>($S111)*EXP(-(Stoff!$N111*365+$U111)*DB111)+DE111</f>
        <v>#VALUE!</v>
      </c>
      <c r="DI111" s="297" t="e">
        <f>(Stoff!$P111*$S111+DG111)*EXP(-$T111*DB111)</f>
        <v>#VALUE!</v>
      </c>
      <c r="DJ111" s="297" t="e">
        <f>(DH111+DI111)*1000000000/('1a. Spredningsmodell input'!$C$36*1000)</f>
        <v>#VALUE!</v>
      </c>
      <c r="DK111" s="297" t="e">
        <f>$G111*(1-EXP(-'1a. Spredningsmodell input'!$B$43*Mellomregninger!DB111))*(1-EXP(-'1a. Spredningsmodell input'!$B$46*Mellomregninger!DB111))</f>
        <v>#VALUE!</v>
      </c>
      <c r="DL111" s="297"/>
      <c r="DM111" s="297"/>
      <c r="DN111" s="262">
        <f t="shared" si="64"/>
        <v>20</v>
      </c>
      <c r="DO111" s="298" t="e">
        <f>($S111+$Q111*($O111+$I111*($D111*(1-Stoff!$P111))*(1-EXP(-($F111+Stoff!$L111*365)*DN111)))*(1-EXP(-($N111+Stoff!$M111*365)*DN111)))</f>
        <v>#VALUE!</v>
      </c>
      <c r="DP111" s="294" t="e">
        <f t="shared" si="51"/>
        <v>#VALUE!</v>
      </c>
      <c r="DQ111" s="296" t="e">
        <f>(DP111/1000000)*('1a. Spredningsmodell input'!$B$49)*'1a. Spredningsmodell input'!$C$35</f>
        <v>#VALUE!</v>
      </c>
      <c r="DR111" s="294" t="e">
        <f t="shared" si="52"/>
        <v>#VALUE!</v>
      </c>
      <c r="DS111" s="290" t="e">
        <f>(DR111/1000000)*('1a. Spredningsmodell input'!$B$49)*'1a. Spredningsmodell input'!$C$35</f>
        <v>#VALUE!</v>
      </c>
      <c r="DT111" s="297" t="e">
        <f>($S111)*EXP(-(Stoff!$N111*365+$U111)*DN111)+DQ111</f>
        <v>#VALUE!</v>
      </c>
      <c r="DU111" s="297" t="e">
        <f>(Stoff!$P111*$S111+DS111)*EXP(-$T111*DN111)</f>
        <v>#VALUE!</v>
      </c>
      <c r="DV111" s="297" t="e">
        <f>(DT111+DU111)*1000000000/('1a. Spredningsmodell input'!$C$36*1000)</f>
        <v>#VALUE!</v>
      </c>
      <c r="DW111" s="297" t="e">
        <f>$G111*(1-EXP(-'1a. Spredningsmodell input'!$B$43*Mellomregninger!DN111))*(1-EXP(-'1a. Spredningsmodell input'!$B$46*Mellomregninger!DN111))</f>
        <v>#VALUE!</v>
      </c>
      <c r="DX111" s="297"/>
      <c r="DY111" s="297"/>
      <c r="DZ111" s="262">
        <f t="shared" si="65"/>
        <v>100</v>
      </c>
      <c r="EA111" s="298" t="e">
        <f>($S111+$Q111*($O111+$I111*($D111*(1-Stoff!$P111))*(1-EXP(-($F111+Stoff!$L111*365)*DZ111)))*(1-EXP(-($N111+Stoff!$M111*365)*DZ111)))</f>
        <v>#VALUE!</v>
      </c>
      <c r="EB111" s="294" t="e">
        <f t="shared" si="54"/>
        <v>#VALUE!</v>
      </c>
      <c r="EC111" s="296" t="e">
        <f>(EB111/1000000)*('1a. Spredningsmodell input'!$B$49)*'1a. Spredningsmodell input'!$C$35</f>
        <v>#VALUE!</v>
      </c>
      <c r="ED111" s="294" t="e">
        <f t="shared" si="55"/>
        <v>#VALUE!</v>
      </c>
      <c r="EE111" s="290" t="e">
        <f>(ED111/1000000)*('1a. Spredningsmodell input'!$B$49)*'1a. Spredningsmodell input'!$C$35</f>
        <v>#VALUE!</v>
      </c>
      <c r="EF111" s="297" t="e">
        <f>($S111)*EXP(-(Stoff!$N111*365+$U111)*DZ111)+EC111</f>
        <v>#VALUE!</v>
      </c>
      <c r="EG111" s="297" t="e">
        <f>(Stoff!$P111*$S111+EE111)*EXP(-$T111*DZ111)</f>
        <v>#VALUE!</v>
      </c>
      <c r="EH111" s="297" t="e">
        <f>(EF111+EG111)*1000000000/('1a. Spredningsmodell input'!$C$36*1000)</f>
        <v>#VALUE!</v>
      </c>
      <c r="EI111" s="297" t="e">
        <f>$G111*(1-EXP(-'1a. Spredningsmodell input'!$B$43*Mellomregninger!DZ111))*(1-EXP(-'1a. Spredningsmodell input'!$B$46*Mellomregninger!DZ111))</f>
        <v>#VALUE!</v>
      </c>
      <c r="EJ111" s="297"/>
      <c r="EK111" s="297"/>
      <c r="EL111" s="262">
        <f t="shared" si="66"/>
        <v>1.0000000000000001E+25</v>
      </c>
      <c r="EM111" s="294" t="e">
        <f>($S111+$Q111*($O111+$I111*($D111*(1-Stoff!$P111))*(1-EXP(-($F111+Stoff!$L111*365)*EL111)))*(1-EXP(-($N111+Stoff!$M111*365)*EL111)))</f>
        <v>#VALUE!</v>
      </c>
      <c r="EN111" s="296" t="e">
        <f>($S111+$Q111*($O111+$I111*($D111*(1-Stoff!$P111))*(1-EXP(-($F111+Stoff!$L111*365)*(EL111-'1a. Spredningsmodell input'!$C$35))))*(1-EXP(-($N111+Stoff!$M111*365)*(EL111-'1a. Spredningsmodell input'!$C$35))))</f>
        <v>#VALUE!</v>
      </c>
      <c r="EO111" s="294" t="e">
        <f>IF(EL111&lt;'1a. Spredningsmodell input'!$C$35,EM111-($S111)*EXP(-(Stoff!$N111*365+$U111)*EL111),EM111-EN111)</f>
        <v>#VALUE!</v>
      </c>
      <c r="EP111" s="290" t="e">
        <f>((($D111*(Stoff!$P111))*(1-EXP(-'1a. Spredningsmodell input'!$B$43*EL111)))*(1-EXP(-'1a. Spredningsmodell input'!$B$46*EL111)))</f>
        <v>#VALUE!</v>
      </c>
      <c r="EQ111" s="294" t="e">
        <f>((($D111*(Stoff!$P111))*(1-EXP(-'1a. Spredningsmodell input'!$B$43*(EL111-'1a. Spredningsmodell input'!$C$35))))*(1-EXP(-'1a. Spredningsmodell input'!$B$46*(EL111-'1a. Spredningsmodell input'!$C$35))))</f>
        <v>#VALUE!</v>
      </c>
      <c r="ER111" s="290" t="e">
        <f>IF(EL111&lt;'1a. Spredningsmodell input'!$C$35,0,EP111-EQ111)</f>
        <v>#VALUE!</v>
      </c>
      <c r="ES111" s="297" t="e">
        <f>($S111)*EXP(-(Stoff!$N111*365+$U111)*EL111)+EO111</f>
        <v>#VALUE!</v>
      </c>
      <c r="ET111" s="297" t="e">
        <f>(Stoff!$P111*$S111+ER111)*EXP(-$T111*EL111)</f>
        <v>#VALUE!</v>
      </c>
      <c r="EU111" s="297" t="e">
        <f>(ES111+ET111)*1000000000/('1a. Spredningsmodell input'!$C$36*1000)</f>
        <v>#VALUE!</v>
      </c>
      <c r="EV111" s="262" t="e">
        <f t="shared" si="67"/>
        <v>#VALUE!</v>
      </c>
      <c r="EW111" s="299" t="e">
        <f t="shared" si="68"/>
        <v>#VALUE!</v>
      </c>
      <c r="EX111" s="262" t="e">
        <f t="shared" si="69"/>
        <v>#VALUE!</v>
      </c>
    </row>
    <row r="112" spans="1:154" x14ac:dyDescent="0.35">
      <c r="A112" s="301" t="str">
        <f>Stoff!A112</f>
        <v>nystoff 26</v>
      </c>
      <c r="B112" s="34" t="str">
        <f>IF(ISNUMBER('1c. Kons. porevann'!E112),1000*'1c. Kons. porevann'!E112,IF(ISNUMBER('1b. Kons. umettet jord'!E112),1000*'1b. Kons. umettet jord'!E112/C112,""))</f>
        <v/>
      </c>
      <c r="C112" s="244">
        <f>IF(Stoff!B112="uorganisk",Stoff!C112,Stoff!D112*'1a. Spredningsmodell input'!$C$11)</f>
        <v>0</v>
      </c>
      <c r="D112" s="34" t="str">
        <f>IF(ISNUMBER(B112),0.000001*('1b. Kons. umettet jord'!G112*'1a. Spredningsmodell input'!$C$12+B112*0.001*'1a. Spredningsmodell input'!$C$14)*1000*'1a. Spredningsmodell input'!$B$41*'1a. Spredningsmodell input'!$C$18,"")</f>
        <v/>
      </c>
      <c r="E112" s="283">
        <f>C112*'1a. Spredningsmodell input'!$C$12/'1a. Spredningsmodell input'!$C$14+1</f>
        <v>1</v>
      </c>
      <c r="F112" s="284">
        <f>'1a. Spredningsmodell input'!$B$43/E112</f>
        <v>1.4999999999999998</v>
      </c>
      <c r="G112" s="34" t="e">
        <f>Stoff!P112*Mellomregninger!D112</f>
        <v>#VALUE!</v>
      </c>
      <c r="H112" s="283" t="e">
        <f>(D112-G112)*(F112/(F112+Stoff!L112))</f>
        <v>#VALUE!</v>
      </c>
      <c r="I112" s="283">
        <f>F112/(F112+Stoff!L112)</f>
        <v>1</v>
      </c>
      <c r="J112" s="285" t="str">
        <f>IF(B112="","",IF(ISNUMBER('1d. Kons. mettet sone'!E112),'1d. Kons. mettet sone'!E112,IF(ISNUMBER('1e. Kons. grunnvann'!E112),'1e. Kons. grunnvann'!E112*Mellomregninger!K112,0)))</f>
        <v/>
      </c>
      <c r="K112" s="286">
        <f>IF(Stoff!B112="uorganisk",Stoff!C112,Stoff!D112*'1a. Spredningsmodell input'!$C$24)</f>
        <v>0</v>
      </c>
      <c r="L112" s="27" t="e">
        <f>IF(ISNUMBER('1e. Kons. grunnvann'!E112),1000*'1e. Kons. grunnvann'!E112,1000*J112/K112)</f>
        <v>#VALUE!</v>
      </c>
      <c r="M112" s="34">
        <f>K112*'1a. Spredningsmodell input'!$C$25/'1a. Spredningsmodell input'!$C$26+1</f>
        <v>1</v>
      </c>
      <c r="N112" s="284">
        <f>'1a. Spredningsmodell input'!$C$26/M112</f>
        <v>0.4</v>
      </c>
      <c r="O112" s="287" t="e">
        <f>0.000000001*(J112*'1a. Spredningsmodell input'!$C$25+L112)*1000*'1a. Spredningsmodell input'!$B$45</f>
        <v>#VALUE!</v>
      </c>
      <c r="P112" s="287" t="e">
        <f>O112*Stoff!P112</f>
        <v>#VALUE!</v>
      </c>
      <c r="Q112" s="287">
        <f>N112/(N112+Stoff!M112)</f>
        <v>1</v>
      </c>
      <c r="R112" s="288">
        <f>IF(ISNUMBER('1f. Kons. resipient'!E112),'1f. Kons. resipient'!E112,0)</f>
        <v>0</v>
      </c>
      <c r="S112" s="288">
        <f>0.000000001*'1a. Spredningsmodell input'!$C$36*R112*1000</f>
        <v>0</v>
      </c>
      <c r="T112" s="288">
        <f>1/'1a. Spredningsmodell input'!$C$35</f>
        <v>1</v>
      </c>
      <c r="U112" s="288">
        <f>1/'1a. Spredningsmodell input'!$C$35</f>
        <v>1</v>
      </c>
      <c r="V112" s="300" t="e">
        <f>(1/($N112+Stoff!$L112))*(LN(($D112*$I112/($D112*$I112+$J112))*($F112+Stoff!$L112+$N112+Stoff!$M112)/($N112+Stoff!$M112)))</f>
        <v>#VALUE!</v>
      </c>
      <c r="W112" s="290" t="e">
        <f>($D112-Stoff!$P112*$D112)*EXP(-($F112+Stoff!$L112*365)*V112)</f>
        <v>#VALUE!</v>
      </c>
      <c r="X112" s="291" t="e">
        <f>(Stoff!$P112*$D112)*EXP(-'1a. Spredningsmodell input'!$B$43*V112)</f>
        <v>#VALUE!</v>
      </c>
      <c r="Y112" s="290" t="e">
        <f>($D112-Stoff!$P112*$D112-W112)*($F112/($F112+Stoff!$L112*365))</f>
        <v>#VALUE!</v>
      </c>
      <c r="Z112" s="290" t="e">
        <f>(Stoff!$P112*$D112)-X112</f>
        <v>#VALUE!</v>
      </c>
      <c r="AA112" s="290" t="e">
        <f>($O112+Y112)*EXP(-($N112+Stoff!$M112*365)*V112)</f>
        <v>#VALUE!</v>
      </c>
      <c r="AB112" s="290" t="e">
        <f>(Stoff!$P112*$O112+Z112)*EXP(-('1a. Spredningsmodell input'!$B$46)*V112)</f>
        <v>#VALUE!</v>
      </c>
      <c r="AC112" s="292" t="e">
        <f>((AA112+AB112)*1000000000)/('1a. Spredningsmodell input'!$B$45*1000)</f>
        <v>#VALUE!</v>
      </c>
      <c r="AD112" s="294" t="e">
        <f>0.001*AC112/('1a. Spredningsmodell input'!$C$25+'1a. Spredningsmodell input'!$C$26/Mellomregninger!$K112)</f>
        <v>#VALUE!</v>
      </c>
      <c r="AE112" s="294" t="e">
        <f>1000*AD112/$K112+AB112*1000000000/('1a. Spredningsmodell input'!$B$45*1000)</f>
        <v>#VALUE!</v>
      </c>
      <c r="AF112" s="294" t="e">
        <f t="shared" si="35"/>
        <v>#VALUE!</v>
      </c>
      <c r="AG112" s="294" t="e">
        <f>AB112*1000000000/('1a. Spredningsmodell input'!$B$45*1000)</f>
        <v>#VALUE!</v>
      </c>
      <c r="AH112" s="300" t="e">
        <f>(1/('1a. Spredningsmodell input'!$B$46))*(LN(($D112*Stoff!$P112/($D112*Stoff!$P112+$P112*Stoff!$P112))*('1a. Spredningsmodell input'!$B$43+'1a. Spredningsmodell input'!$B$46)/('1a. Spredningsmodell input'!$B$46)))</f>
        <v>#VALUE!</v>
      </c>
      <c r="AI112" s="290" t="e">
        <f>($D112-Stoff!$P112*$D112)*EXP(-($F112+Stoff!$L112*365)*AH112)</f>
        <v>#VALUE!</v>
      </c>
      <c r="AJ112" s="291" t="e">
        <f>(Stoff!$P112*$D112)*EXP(-'1a. Spredningsmodell input'!$B$43*AH112)</f>
        <v>#VALUE!</v>
      </c>
      <c r="AK112" s="290" t="e">
        <f>($D112-Stoff!$P112*$D112-AI112)*($F112/($F112+Stoff!$L112*365))</f>
        <v>#VALUE!</v>
      </c>
      <c r="AL112" s="290" t="e">
        <f>(Stoff!$P112*$D112)-AJ112</f>
        <v>#VALUE!</v>
      </c>
      <c r="AM112" s="290" t="e">
        <f>($O112+AK112)*EXP(-($N112+Stoff!$M112*365)*AH112)</f>
        <v>#VALUE!</v>
      </c>
      <c r="AN112" s="290" t="e">
        <f>(Stoff!$P112*$O112+AL112)*EXP(-('1a. Spredningsmodell input'!$B$46)*AH112)</f>
        <v>#VALUE!</v>
      </c>
      <c r="AO112" s="292" t="e">
        <f>((AM112+AN112)*1000000000)/('1a. Spredningsmodell input'!$B$45*1000)</f>
        <v>#VALUE!</v>
      </c>
      <c r="AP112" s="294" t="e">
        <f>0.001*AO112/('1a. Spredningsmodell input'!$C$25+'1a. Spredningsmodell input'!$C$26/Mellomregninger!$K112)</f>
        <v>#VALUE!</v>
      </c>
      <c r="AQ112" s="294" t="e">
        <f>1000*AP112/$K112+AN112*1000000000/('1a. Spredningsmodell input'!$B$45*1000)</f>
        <v>#VALUE!</v>
      </c>
      <c r="AR112" s="294" t="e">
        <f t="shared" si="36"/>
        <v>#VALUE!</v>
      </c>
      <c r="AS112" s="294" t="e">
        <f>AN112*1000000000/('1a. Spredningsmodell input'!$B$45*1000)</f>
        <v>#VALUE!</v>
      </c>
      <c r="AT112" s="295">
        <f t="shared" si="60"/>
        <v>5</v>
      </c>
      <c r="AU112" s="290" t="e">
        <f>($D112-Stoff!$P112*$D112)*EXP(-($F112+Stoff!$L112*365)*AT112)</f>
        <v>#VALUE!</v>
      </c>
      <c r="AV112" s="291" t="e">
        <f>(Stoff!$P112*$D112)*EXP(-'1a. Spredningsmodell input'!$B$43*AT112)</f>
        <v>#VALUE!</v>
      </c>
      <c r="AW112" s="290" t="e">
        <f>($D112-Stoff!$P112*$D112-AU112)*($F112/($F112+Stoff!$L112*365))</f>
        <v>#VALUE!</v>
      </c>
      <c r="AX112" s="290" t="e">
        <f>(Stoff!$P112*$D112)-AV112</f>
        <v>#VALUE!</v>
      </c>
      <c r="AY112" s="290" t="e">
        <f>($O112+AW112)*EXP(-($N112+Stoff!$M112*365)*AT112)</f>
        <v>#VALUE!</v>
      </c>
      <c r="AZ112" s="290" t="e">
        <f>(Stoff!$P112*$O112+AX112)*EXP(-('1a. Spredningsmodell input'!$B$46)*AT112)</f>
        <v>#VALUE!</v>
      </c>
      <c r="BA112" s="292" t="e">
        <f>((AY112+AZ112)*1000000000)/('1a. Spredningsmodell input'!$B$45*1000)</f>
        <v>#VALUE!</v>
      </c>
      <c r="BB112" s="294" t="e">
        <f>0.001*BA112/('1a. Spredningsmodell input'!$C$25+'1a. Spredningsmodell input'!$C$26/Mellomregninger!$K112)</f>
        <v>#VALUE!</v>
      </c>
      <c r="BC112" s="294" t="e">
        <f>1000*BB112/$K112+AZ112*1000000000/('1a. Spredningsmodell input'!$B$45*1000)</f>
        <v>#VALUE!</v>
      </c>
      <c r="BD112" s="294" t="e">
        <f t="shared" si="38"/>
        <v>#VALUE!</v>
      </c>
      <c r="BE112" s="294" t="e">
        <f>AZ112*1000000000/('1a. Spredningsmodell input'!$B$45*1000)</f>
        <v>#VALUE!</v>
      </c>
      <c r="BF112" s="295">
        <f t="shared" si="61"/>
        <v>20</v>
      </c>
      <c r="BG112" s="290" t="e">
        <f>($D112-Stoff!$P112*$D112)*EXP(-($F112+Stoff!$L112*365)*BF112)</f>
        <v>#VALUE!</v>
      </c>
      <c r="BH112" s="291" t="e">
        <f>(Stoff!$P112*$D112)*EXP(-'1a. Spredningsmodell input'!$B$43*BF112)</f>
        <v>#VALUE!</v>
      </c>
      <c r="BI112" s="290" t="e">
        <f>($D112-Stoff!$P112*$D112-BG112)*($F112/($F112+Stoff!$L112*365))</f>
        <v>#VALUE!</v>
      </c>
      <c r="BJ112" s="290" t="e">
        <f>(Stoff!$P112*$D112)-BH112</f>
        <v>#VALUE!</v>
      </c>
      <c r="BK112" s="290" t="e">
        <f>($O112+BI112)*EXP(-($N112+Stoff!$M112*365)*BF112)</f>
        <v>#VALUE!</v>
      </c>
      <c r="BL112" s="290" t="e">
        <f>(Stoff!$P112*$O112+BJ112)*EXP(-('1a. Spredningsmodell input'!$B$46)*BF112)</f>
        <v>#VALUE!</v>
      </c>
      <c r="BM112" s="292" t="e">
        <f>((BK112+BL112)*1000000000)/('1a. Spredningsmodell input'!$B$45*1000)</f>
        <v>#VALUE!</v>
      </c>
      <c r="BN112" s="294" t="e">
        <f>0.001*BM112/('1a. Spredningsmodell input'!$C$25+'1a. Spredningsmodell input'!$C$26/Mellomregninger!$K112)</f>
        <v>#VALUE!</v>
      </c>
      <c r="BO112" s="294" t="e">
        <f>1000*BN112/$K112+BL112*1000000000/('1a. Spredningsmodell input'!$B$45*1000)</f>
        <v>#VALUE!</v>
      </c>
      <c r="BP112" s="294" t="e">
        <f t="shared" si="40"/>
        <v>#VALUE!</v>
      </c>
      <c r="BQ112" s="294" t="e">
        <f>BL112*1000000000/('1a. Spredningsmodell input'!$B$45*1000)</f>
        <v>#VALUE!</v>
      </c>
      <c r="BR112" s="295">
        <f t="shared" si="62"/>
        <v>100</v>
      </c>
      <c r="BS112" s="290" t="e">
        <f>($D112-Stoff!$P112*$D112)*EXP(-($F112+Stoff!$L112*365)*BR112)</f>
        <v>#VALUE!</v>
      </c>
      <c r="BT112" s="291" t="e">
        <f>(Stoff!$P112*$D112)*EXP(-'1a. Spredningsmodell input'!$B$43*BR112)</f>
        <v>#VALUE!</v>
      </c>
      <c r="BU112" s="290" t="e">
        <f>($D112-Stoff!$P112*$D112-BS112)*($F112/($F112+Stoff!$L112*365))</f>
        <v>#VALUE!</v>
      </c>
      <c r="BV112" s="290" t="e">
        <f>(Stoff!$P112*$D112)-BT112</f>
        <v>#VALUE!</v>
      </c>
      <c r="BW112" s="290" t="e">
        <f>($O112+BU112)*EXP(-($N112+Stoff!$M112*365)*BR112)</f>
        <v>#VALUE!</v>
      </c>
      <c r="BX112" s="290" t="e">
        <f>(Stoff!$P112*$O112+BV112)*EXP(-('1a. Spredningsmodell input'!$B$46)*BR112)</f>
        <v>#VALUE!</v>
      </c>
      <c r="BY112" s="292" t="e">
        <f>((BW112+BX112)*1000000000)/('1a. Spredningsmodell input'!$B$45*1000)</f>
        <v>#VALUE!</v>
      </c>
      <c r="BZ112" s="294" t="e">
        <f>0.001*BY112/('1a. Spredningsmodell input'!$C$25+'1a. Spredningsmodell input'!$C$26/Mellomregninger!$K112)</f>
        <v>#VALUE!</v>
      </c>
      <c r="CA112" s="294" t="e">
        <f>1000*BZ112/$K112+BX112*1000000000/('1a. Spredningsmodell input'!$B$45*1000)</f>
        <v>#VALUE!</v>
      </c>
      <c r="CB112" s="294" t="e">
        <f t="shared" si="42"/>
        <v>#VALUE!</v>
      </c>
      <c r="CC112" s="294" t="e">
        <f>BX112*1000000000/('1a. Spredningsmodell input'!$B$45*1000)</f>
        <v>#VALUE!</v>
      </c>
      <c r="CD112" s="294" t="e">
        <f>V112+'1a. Spredningsmodell input'!$C$35</f>
        <v>#VALUE!</v>
      </c>
      <c r="CE112" s="294" t="e">
        <f>($S112+$Q112*($O112+$I112*($D112*(1-Stoff!$P112))*(1-EXP(-($F112+Stoff!$L112*365)*CD112)))*(1-EXP(-($N112+Stoff!$M112*365)*CD112)))</f>
        <v>#VALUE!</v>
      </c>
      <c r="CF112" s="294" t="e">
        <f t="shared" si="43"/>
        <v>#VALUE!</v>
      </c>
      <c r="CG112" s="296" t="e">
        <f>(CF112/1000000)*'1a. Spredningsmodell input'!$B$49*'1a. Spredningsmodell input'!$C$35</f>
        <v>#VALUE!</v>
      </c>
      <c r="CH112" s="294" t="e">
        <f t="shared" si="44"/>
        <v>#VALUE!</v>
      </c>
      <c r="CI112" s="290" t="e">
        <f>(CH112/1000000)*'1a. Spredningsmodell input'!$B$49*'1a. Spredningsmodell input'!$C$35</f>
        <v>#VALUE!</v>
      </c>
      <c r="CJ112" s="297" t="e">
        <f>($S112)*EXP(-(Stoff!$N112*365+$U112)*CD112)+CG112</f>
        <v>#VALUE!</v>
      </c>
      <c r="CK112" s="297" t="e">
        <f>(Stoff!$P112*$S112+CI112)*EXP(-$T112*CD112)</f>
        <v>#VALUE!</v>
      </c>
      <c r="CL112" s="297" t="e">
        <f>(CJ112+CK112)*1000000000/('1a. Spredningsmodell input'!$C$36*1000)</f>
        <v>#VALUE!</v>
      </c>
      <c r="CM112" s="297" t="e">
        <f>$G112*(1-EXP(-'1a. Spredningsmodell input'!$B$43*Mellomregninger!CD112))*(1-EXP(-'1a. Spredningsmodell input'!$B$46*Mellomregninger!CD112))</f>
        <v>#VALUE!</v>
      </c>
      <c r="CN112" s="297"/>
      <c r="CO112" s="297"/>
      <c r="CP112" s="290">
        <f>IF(ISNUMBER(AH112),AH112+'1a. Spredningsmodell input'!$C$35,'1a. Spredningsmodell input'!$C$35)</f>
        <v>1</v>
      </c>
      <c r="CQ112" s="294" t="e">
        <f>($S112+$Q112*($O112+$I112*($D112*(1-Stoff!$P112))*(1-EXP(-($F112+Stoff!$L112*365)*CP112)))*(1-EXP(-($N112+Stoff!$M112*365)*CP112)))</f>
        <v>#VALUE!</v>
      </c>
      <c r="CR112" s="294" t="e">
        <f t="shared" si="45"/>
        <v>#VALUE!</v>
      </c>
      <c r="CS112" s="296" t="e">
        <f>(CR112/1000000)*('1a. Spredningsmodell input'!$B$49*'1a. Spredningsmodell input'!$C$35)</f>
        <v>#VALUE!</v>
      </c>
      <c r="CT112" s="294" t="e">
        <f t="shared" si="46"/>
        <v>#VALUE!</v>
      </c>
      <c r="CU112" s="290" t="e">
        <f>(CT112/1000000)*('1a. Spredningsmodell input'!$B$49)*'1a. Spredningsmodell input'!$C$35</f>
        <v>#VALUE!</v>
      </c>
      <c r="CV112" s="297" t="e">
        <f>($S112)*EXP(-(Stoff!$N112*365+$U112)*CP112)+CS112</f>
        <v>#VALUE!</v>
      </c>
      <c r="CW112" s="297" t="e">
        <f>(Stoff!$P112*$S112+CU112)*EXP(-$T112*CP112)</f>
        <v>#VALUE!</v>
      </c>
      <c r="CX112" s="297">
        <f>IF(ISERROR(CV112),0,(CV112+CW112)*1000000000/('1a. Spredningsmodell input'!$C$36*1000))</f>
        <v>0</v>
      </c>
      <c r="CY112" s="297" t="e">
        <f>$G112*(1-EXP(-'1a. Spredningsmodell input'!$B$43*Mellomregninger!CP112))*(1-EXP(-'1a. Spredningsmodell input'!$B$46*Mellomregninger!CP112))</f>
        <v>#VALUE!</v>
      </c>
      <c r="CZ112" s="297"/>
      <c r="DA112" s="297"/>
      <c r="DB112" s="262">
        <f t="shared" si="63"/>
        <v>5</v>
      </c>
      <c r="DC112" s="298" t="e">
        <f>($S112+$Q112*($O112+$I112*($D112*(1-Stoff!$P112))*(1-EXP(-($F112+Stoff!$L112*365)*DB112)))*(1-EXP(-($N112+Stoff!$M112*365)*DB112)))</f>
        <v>#VALUE!</v>
      </c>
      <c r="DD112" s="294" t="e">
        <f t="shared" si="48"/>
        <v>#VALUE!</v>
      </c>
      <c r="DE112" s="296" t="e">
        <f>(DD112/1000000)*('1a. Spredningsmodell input'!$B$49)*'1a. Spredningsmodell input'!$C$35</f>
        <v>#VALUE!</v>
      </c>
      <c r="DF112" s="294" t="e">
        <f t="shared" si="49"/>
        <v>#VALUE!</v>
      </c>
      <c r="DG112" s="290" t="e">
        <f>(DF112/1000000)*('1a. Spredningsmodell input'!$B$49)*'1a. Spredningsmodell input'!$C$35</f>
        <v>#VALUE!</v>
      </c>
      <c r="DH112" s="297" t="e">
        <f>($S112)*EXP(-(Stoff!$N112*365+$U112)*DB112)+DE112</f>
        <v>#VALUE!</v>
      </c>
      <c r="DI112" s="297" t="e">
        <f>(Stoff!$P112*$S112+DG112)*EXP(-$T112*DB112)</f>
        <v>#VALUE!</v>
      </c>
      <c r="DJ112" s="297" t="e">
        <f>(DH112+DI112)*1000000000/('1a. Spredningsmodell input'!$C$36*1000)</f>
        <v>#VALUE!</v>
      </c>
      <c r="DK112" s="297" t="e">
        <f>$G112*(1-EXP(-'1a. Spredningsmodell input'!$B$43*Mellomregninger!DB112))*(1-EXP(-'1a. Spredningsmodell input'!$B$46*Mellomregninger!DB112))</f>
        <v>#VALUE!</v>
      </c>
      <c r="DL112" s="297"/>
      <c r="DM112" s="297"/>
      <c r="DN112" s="262">
        <f t="shared" si="64"/>
        <v>20</v>
      </c>
      <c r="DO112" s="298" t="e">
        <f>($S112+$Q112*($O112+$I112*($D112*(1-Stoff!$P112))*(1-EXP(-($F112+Stoff!$L112*365)*DN112)))*(1-EXP(-($N112+Stoff!$M112*365)*DN112)))</f>
        <v>#VALUE!</v>
      </c>
      <c r="DP112" s="294" t="e">
        <f t="shared" si="51"/>
        <v>#VALUE!</v>
      </c>
      <c r="DQ112" s="296" t="e">
        <f>(DP112/1000000)*('1a. Spredningsmodell input'!$B$49)*'1a. Spredningsmodell input'!$C$35</f>
        <v>#VALUE!</v>
      </c>
      <c r="DR112" s="294" t="e">
        <f t="shared" si="52"/>
        <v>#VALUE!</v>
      </c>
      <c r="DS112" s="290" t="e">
        <f>(DR112/1000000)*('1a. Spredningsmodell input'!$B$49)*'1a. Spredningsmodell input'!$C$35</f>
        <v>#VALUE!</v>
      </c>
      <c r="DT112" s="297" t="e">
        <f>($S112)*EXP(-(Stoff!$N112*365+$U112)*DN112)+DQ112</f>
        <v>#VALUE!</v>
      </c>
      <c r="DU112" s="297" t="e">
        <f>(Stoff!$P112*$S112+DS112)*EXP(-$T112*DN112)</f>
        <v>#VALUE!</v>
      </c>
      <c r="DV112" s="297" t="e">
        <f>(DT112+DU112)*1000000000/('1a. Spredningsmodell input'!$C$36*1000)</f>
        <v>#VALUE!</v>
      </c>
      <c r="DW112" s="297" t="e">
        <f>$G112*(1-EXP(-'1a. Spredningsmodell input'!$B$43*Mellomregninger!DN112))*(1-EXP(-'1a. Spredningsmodell input'!$B$46*Mellomregninger!DN112))</f>
        <v>#VALUE!</v>
      </c>
      <c r="DX112" s="297"/>
      <c r="DY112" s="297"/>
      <c r="DZ112" s="262">
        <f t="shared" si="65"/>
        <v>100</v>
      </c>
      <c r="EA112" s="298" t="e">
        <f>($S112+$Q112*($O112+$I112*($D112*(1-Stoff!$P112))*(1-EXP(-($F112+Stoff!$L112*365)*DZ112)))*(1-EXP(-($N112+Stoff!$M112*365)*DZ112)))</f>
        <v>#VALUE!</v>
      </c>
      <c r="EB112" s="294" t="e">
        <f t="shared" si="54"/>
        <v>#VALUE!</v>
      </c>
      <c r="EC112" s="296" t="e">
        <f>(EB112/1000000)*('1a. Spredningsmodell input'!$B$49)*'1a. Spredningsmodell input'!$C$35</f>
        <v>#VALUE!</v>
      </c>
      <c r="ED112" s="294" t="e">
        <f t="shared" si="55"/>
        <v>#VALUE!</v>
      </c>
      <c r="EE112" s="290" t="e">
        <f>(ED112/1000000)*('1a. Spredningsmodell input'!$B$49)*'1a. Spredningsmodell input'!$C$35</f>
        <v>#VALUE!</v>
      </c>
      <c r="EF112" s="297" t="e">
        <f>($S112)*EXP(-(Stoff!$N112*365+$U112)*DZ112)+EC112</f>
        <v>#VALUE!</v>
      </c>
      <c r="EG112" s="297" t="e">
        <f>(Stoff!$P112*$S112+EE112)*EXP(-$T112*DZ112)</f>
        <v>#VALUE!</v>
      </c>
      <c r="EH112" s="297" t="e">
        <f>(EF112+EG112)*1000000000/('1a. Spredningsmodell input'!$C$36*1000)</f>
        <v>#VALUE!</v>
      </c>
      <c r="EI112" s="297" t="e">
        <f>$G112*(1-EXP(-'1a. Spredningsmodell input'!$B$43*Mellomregninger!DZ112))*(1-EXP(-'1a. Spredningsmodell input'!$B$46*Mellomregninger!DZ112))</f>
        <v>#VALUE!</v>
      </c>
      <c r="EJ112" s="297"/>
      <c r="EK112" s="297"/>
      <c r="EL112" s="262">
        <f t="shared" si="66"/>
        <v>1.0000000000000001E+25</v>
      </c>
      <c r="EM112" s="294" t="e">
        <f>($S112+$Q112*($O112+$I112*($D112*(1-Stoff!$P112))*(1-EXP(-($F112+Stoff!$L112*365)*EL112)))*(1-EXP(-($N112+Stoff!$M112*365)*EL112)))</f>
        <v>#VALUE!</v>
      </c>
      <c r="EN112" s="296" t="e">
        <f>($S112+$Q112*($O112+$I112*($D112*(1-Stoff!$P112))*(1-EXP(-($F112+Stoff!$L112*365)*(EL112-'1a. Spredningsmodell input'!$C$35))))*(1-EXP(-($N112+Stoff!$M112*365)*(EL112-'1a. Spredningsmodell input'!$C$35))))</f>
        <v>#VALUE!</v>
      </c>
      <c r="EO112" s="294" t="e">
        <f>IF(EL112&lt;'1a. Spredningsmodell input'!$C$35,EM112-($S112)*EXP(-(Stoff!$N112*365+$U112)*EL112),EM112-EN112)</f>
        <v>#VALUE!</v>
      </c>
      <c r="EP112" s="290" t="e">
        <f>((($D112*(Stoff!$P112))*(1-EXP(-'1a. Spredningsmodell input'!$B$43*EL112)))*(1-EXP(-'1a. Spredningsmodell input'!$B$46*EL112)))</f>
        <v>#VALUE!</v>
      </c>
      <c r="EQ112" s="294" t="e">
        <f>((($D112*(Stoff!$P112))*(1-EXP(-'1a. Spredningsmodell input'!$B$43*(EL112-'1a. Spredningsmodell input'!$C$35))))*(1-EXP(-'1a. Spredningsmodell input'!$B$46*(EL112-'1a. Spredningsmodell input'!$C$35))))</f>
        <v>#VALUE!</v>
      </c>
      <c r="ER112" s="290" t="e">
        <f>IF(EL112&lt;'1a. Spredningsmodell input'!$C$35,0,EP112-EQ112)</f>
        <v>#VALUE!</v>
      </c>
      <c r="ES112" s="297" t="e">
        <f>($S112)*EXP(-(Stoff!$N112*365+$U112)*EL112)+EO112</f>
        <v>#VALUE!</v>
      </c>
      <c r="ET112" s="297" t="e">
        <f>(Stoff!$P112*$S112+ER112)*EXP(-$T112*EL112)</f>
        <v>#VALUE!</v>
      </c>
      <c r="EU112" s="297" t="e">
        <f>(ES112+ET112)*1000000000/('1a. Spredningsmodell input'!$C$36*1000)</f>
        <v>#VALUE!</v>
      </c>
      <c r="EV112" s="262" t="e">
        <f t="shared" si="67"/>
        <v>#VALUE!</v>
      </c>
      <c r="EW112" s="299" t="e">
        <f t="shared" si="68"/>
        <v>#VALUE!</v>
      </c>
      <c r="EX112" s="262" t="e">
        <f t="shared" si="69"/>
        <v>#VALUE!</v>
      </c>
    </row>
    <row r="113" spans="1:154" x14ac:dyDescent="0.35">
      <c r="A113" s="301" t="str">
        <f>Stoff!A113</f>
        <v>nystoff 27</v>
      </c>
      <c r="B113" s="34" t="str">
        <f>IF(ISNUMBER('1c. Kons. porevann'!E113),1000*'1c. Kons. porevann'!E113,IF(ISNUMBER('1b. Kons. umettet jord'!E113),1000*'1b. Kons. umettet jord'!E113/C113,""))</f>
        <v/>
      </c>
      <c r="C113" s="244">
        <f>IF(Stoff!B113="uorganisk",Stoff!C113,Stoff!D113*'1a. Spredningsmodell input'!$C$11)</f>
        <v>0</v>
      </c>
      <c r="D113" s="34" t="str">
        <f>IF(ISNUMBER(B113),0.000001*('1b. Kons. umettet jord'!G113*'1a. Spredningsmodell input'!$C$12+B113*0.001*'1a. Spredningsmodell input'!$C$14)*1000*'1a. Spredningsmodell input'!$B$41*'1a. Spredningsmodell input'!$C$18,"")</f>
        <v/>
      </c>
      <c r="E113" s="283">
        <f>C113*'1a. Spredningsmodell input'!$C$12/'1a. Spredningsmodell input'!$C$14+1</f>
        <v>1</v>
      </c>
      <c r="F113" s="284">
        <f>'1a. Spredningsmodell input'!$B$43/E113</f>
        <v>1.4999999999999998</v>
      </c>
      <c r="G113" s="34" t="e">
        <f>Stoff!P113*Mellomregninger!D113</f>
        <v>#VALUE!</v>
      </c>
      <c r="H113" s="283" t="e">
        <f>(D113-G113)*(F113/(F113+Stoff!L113))</f>
        <v>#VALUE!</v>
      </c>
      <c r="I113" s="283">
        <f>F113/(F113+Stoff!L113)</f>
        <v>1</v>
      </c>
      <c r="J113" s="285" t="str">
        <f>IF(B113="","",IF(ISNUMBER('1d. Kons. mettet sone'!E113),'1d. Kons. mettet sone'!E113,IF(ISNUMBER('1e. Kons. grunnvann'!E113),'1e. Kons. grunnvann'!E113*Mellomregninger!K113,0)))</f>
        <v/>
      </c>
      <c r="K113" s="286">
        <f>IF(Stoff!B113="uorganisk",Stoff!C113,Stoff!D113*'1a. Spredningsmodell input'!$C$24)</f>
        <v>0</v>
      </c>
      <c r="L113" s="27" t="e">
        <f>IF(ISNUMBER('1e. Kons. grunnvann'!E113),1000*'1e. Kons. grunnvann'!E113,1000*J113/K113)</f>
        <v>#VALUE!</v>
      </c>
      <c r="M113" s="34">
        <f>K113*'1a. Spredningsmodell input'!$C$25/'1a. Spredningsmodell input'!$C$26+1</f>
        <v>1</v>
      </c>
      <c r="N113" s="284">
        <f>'1a. Spredningsmodell input'!$C$26/M113</f>
        <v>0.4</v>
      </c>
      <c r="O113" s="287" t="e">
        <f>0.000000001*(J113*'1a. Spredningsmodell input'!$C$25+L113)*1000*'1a. Spredningsmodell input'!$B$45</f>
        <v>#VALUE!</v>
      </c>
      <c r="P113" s="287" t="e">
        <f>O113*Stoff!P113</f>
        <v>#VALUE!</v>
      </c>
      <c r="Q113" s="287">
        <f>N113/(N113+Stoff!M113)</f>
        <v>1</v>
      </c>
      <c r="R113" s="288">
        <f>IF(ISNUMBER('1f. Kons. resipient'!E113),'1f. Kons. resipient'!E113,0)</f>
        <v>0</v>
      </c>
      <c r="S113" s="288">
        <f>0.000000001*'1a. Spredningsmodell input'!$C$36*R113*1000</f>
        <v>0</v>
      </c>
      <c r="T113" s="288">
        <f>1/'1a. Spredningsmodell input'!$C$35</f>
        <v>1</v>
      </c>
      <c r="U113" s="288">
        <f>1/'1a. Spredningsmodell input'!$C$35</f>
        <v>1</v>
      </c>
      <c r="V113" s="300" t="e">
        <f>(1/($N113+Stoff!$L113))*(LN(($D113*$I113/($D113*$I113+$J113))*($F113+Stoff!$L113+$N113+Stoff!$M113)/($N113+Stoff!$M113)))</f>
        <v>#VALUE!</v>
      </c>
      <c r="W113" s="290" t="e">
        <f>($D113-Stoff!$P113*$D113)*EXP(-($F113+Stoff!$L113*365)*V113)</f>
        <v>#VALUE!</v>
      </c>
      <c r="X113" s="291" t="e">
        <f>(Stoff!$P113*$D113)*EXP(-'1a. Spredningsmodell input'!$B$43*V113)</f>
        <v>#VALUE!</v>
      </c>
      <c r="Y113" s="290" t="e">
        <f>($D113-Stoff!$P113*$D113-W113)*($F113/($F113+Stoff!$L113*365))</f>
        <v>#VALUE!</v>
      </c>
      <c r="Z113" s="290" t="e">
        <f>(Stoff!$P113*$D113)-X113</f>
        <v>#VALUE!</v>
      </c>
      <c r="AA113" s="290" t="e">
        <f>($O113+Y113)*EXP(-($N113+Stoff!$M113*365)*V113)</f>
        <v>#VALUE!</v>
      </c>
      <c r="AB113" s="290" t="e">
        <f>(Stoff!$P113*$O113+Z113)*EXP(-('1a. Spredningsmodell input'!$B$46)*V113)</f>
        <v>#VALUE!</v>
      </c>
      <c r="AC113" s="292" t="e">
        <f>((AA113+AB113)*1000000000)/('1a. Spredningsmodell input'!$B$45*1000)</f>
        <v>#VALUE!</v>
      </c>
      <c r="AD113" s="294" t="e">
        <f>0.001*AC113/('1a. Spredningsmodell input'!$C$25+'1a. Spredningsmodell input'!$C$26/Mellomregninger!$K113)</f>
        <v>#VALUE!</v>
      </c>
      <c r="AE113" s="294" t="e">
        <f>1000*AD113/$K113+AB113*1000000000/('1a. Spredningsmodell input'!$B$45*1000)</f>
        <v>#VALUE!</v>
      </c>
      <c r="AF113" s="294" t="e">
        <f t="shared" si="35"/>
        <v>#VALUE!</v>
      </c>
      <c r="AG113" s="294" t="e">
        <f>AB113*1000000000/('1a. Spredningsmodell input'!$B$45*1000)</f>
        <v>#VALUE!</v>
      </c>
      <c r="AH113" s="300" t="e">
        <f>(1/('1a. Spredningsmodell input'!$B$46))*(LN(($D113*Stoff!$P113/($D113*Stoff!$P113+$P113*Stoff!$P113))*('1a. Spredningsmodell input'!$B$43+'1a. Spredningsmodell input'!$B$46)/('1a. Spredningsmodell input'!$B$46)))</f>
        <v>#VALUE!</v>
      </c>
      <c r="AI113" s="290" t="e">
        <f>($D113-Stoff!$P113*$D113)*EXP(-($F113+Stoff!$L113*365)*AH113)</f>
        <v>#VALUE!</v>
      </c>
      <c r="AJ113" s="291" t="e">
        <f>(Stoff!$P113*$D113)*EXP(-'1a. Spredningsmodell input'!$B$43*AH113)</f>
        <v>#VALUE!</v>
      </c>
      <c r="AK113" s="290" t="e">
        <f>($D113-Stoff!$P113*$D113-AI113)*($F113/($F113+Stoff!$L113*365))</f>
        <v>#VALUE!</v>
      </c>
      <c r="AL113" s="290" t="e">
        <f>(Stoff!$P113*$D113)-AJ113</f>
        <v>#VALUE!</v>
      </c>
      <c r="AM113" s="290" t="e">
        <f>($O113+AK113)*EXP(-($N113+Stoff!$M113*365)*AH113)</f>
        <v>#VALUE!</v>
      </c>
      <c r="AN113" s="290" t="e">
        <f>(Stoff!$P113*$O113+AL113)*EXP(-('1a. Spredningsmodell input'!$B$46)*AH113)</f>
        <v>#VALUE!</v>
      </c>
      <c r="AO113" s="292" t="e">
        <f>((AM113+AN113)*1000000000)/('1a. Spredningsmodell input'!$B$45*1000)</f>
        <v>#VALUE!</v>
      </c>
      <c r="AP113" s="294" t="e">
        <f>0.001*AO113/('1a. Spredningsmodell input'!$C$25+'1a. Spredningsmodell input'!$C$26/Mellomregninger!$K113)</f>
        <v>#VALUE!</v>
      </c>
      <c r="AQ113" s="294" t="e">
        <f>1000*AP113/$K113+AN113*1000000000/('1a. Spredningsmodell input'!$B$45*1000)</f>
        <v>#VALUE!</v>
      </c>
      <c r="AR113" s="294" t="e">
        <f t="shared" si="36"/>
        <v>#VALUE!</v>
      </c>
      <c r="AS113" s="294" t="e">
        <f>AN113*1000000000/('1a. Spredningsmodell input'!$B$45*1000)</f>
        <v>#VALUE!</v>
      </c>
      <c r="AT113" s="295">
        <f t="shared" si="60"/>
        <v>5</v>
      </c>
      <c r="AU113" s="290" t="e">
        <f>($D113-Stoff!$P113*$D113)*EXP(-($F113+Stoff!$L113*365)*AT113)</f>
        <v>#VALUE!</v>
      </c>
      <c r="AV113" s="291" t="e">
        <f>(Stoff!$P113*$D113)*EXP(-'1a. Spredningsmodell input'!$B$43*AT113)</f>
        <v>#VALUE!</v>
      </c>
      <c r="AW113" s="290" t="e">
        <f>($D113-Stoff!$P113*$D113-AU113)*($F113/($F113+Stoff!$L113*365))</f>
        <v>#VALUE!</v>
      </c>
      <c r="AX113" s="290" t="e">
        <f>(Stoff!$P113*$D113)-AV113</f>
        <v>#VALUE!</v>
      </c>
      <c r="AY113" s="290" t="e">
        <f>($O113+AW113)*EXP(-($N113+Stoff!$M113*365)*AT113)</f>
        <v>#VALUE!</v>
      </c>
      <c r="AZ113" s="290" t="e">
        <f>(Stoff!$P113*$O113+AX113)*EXP(-('1a. Spredningsmodell input'!$B$46)*AT113)</f>
        <v>#VALUE!</v>
      </c>
      <c r="BA113" s="292" t="e">
        <f>((AY113+AZ113)*1000000000)/('1a. Spredningsmodell input'!$B$45*1000)</f>
        <v>#VALUE!</v>
      </c>
      <c r="BB113" s="294" t="e">
        <f>0.001*BA113/('1a. Spredningsmodell input'!$C$25+'1a. Spredningsmodell input'!$C$26/Mellomregninger!$K113)</f>
        <v>#VALUE!</v>
      </c>
      <c r="BC113" s="294" t="e">
        <f>1000*BB113/$K113+AZ113*1000000000/('1a. Spredningsmodell input'!$B$45*1000)</f>
        <v>#VALUE!</v>
      </c>
      <c r="BD113" s="294" t="e">
        <f t="shared" si="38"/>
        <v>#VALUE!</v>
      </c>
      <c r="BE113" s="294" t="e">
        <f>AZ113*1000000000/('1a. Spredningsmodell input'!$B$45*1000)</f>
        <v>#VALUE!</v>
      </c>
      <c r="BF113" s="295">
        <f t="shared" si="61"/>
        <v>20</v>
      </c>
      <c r="BG113" s="290" t="e">
        <f>($D113-Stoff!$P113*$D113)*EXP(-($F113+Stoff!$L113*365)*BF113)</f>
        <v>#VALUE!</v>
      </c>
      <c r="BH113" s="291" t="e">
        <f>(Stoff!$P113*$D113)*EXP(-'1a. Spredningsmodell input'!$B$43*BF113)</f>
        <v>#VALUE!</v>
      </c>
      <c r="BI113" s="290" t="e">
        <f>($D113-Stoff!$P113*$D113-BG113)*($F113/($F113+Stoff!$L113*365))</f>
        <v>#VALUE!</v>
      </c>
      <c r="BJ113" s="290" t="e">
        <f>(Stoff!$P113*$D113)-BH113</f>
        <v>#VALUE!</v>
      </c>
      <c r="BK113" s="290" t="e">
        <f>($O113+BI113)*EXP(-($N113+Stoff!$M113*365)*BF113)</f>
        <v>#VALUE!</v>
      </c>
      <c r="BL113" s="290" t="e">
        <f>(Stoff!$P113*$O113+BJ113)*EXP(-('1a. Spredningsmodell input'!$B$46)*BF113)</f>
        <v>#VALUE!</v>
      </c>
      <c r="BM113" s="292" t="e">
        <f>((BK113+BL113)*1000000000)/('1a. Spredningsmodell input'!$B$45*1000)</f>
        <v>#VALUE!</v>
      </c>
      <c r="BN113" s="294" t="e">
        <f>0.001*BM113/('1a. Spredningsmodell input'!$C$25+'1a. Spredningsmodell input'!$C$26/Mellomregninger!$K113)</f>
        <v>#VALUE!</v>
      </c>
      <c r="BO113" s="294" t="e">
        <f>1000*BN113/$K113+BL113*1000000000/('1a. Spredningsmodell input'!$B$45*1000)</f>
        <v>#VALUE!</v>
      </c>
      <c r="BP113" s="294" t="e">
        <f t="shared" si="40"/>
        <v>#VALUE!</v>
      </c>
      <c r="BQ113" s="294" t="e">
        <f>BL113*1000000000/('1a. Spredningsmodell input'!$B$45*1000)</f>
        <v>#VALUE!</v>
      </c>
      <c r="BR113" s="295">
        <f t="shared" si="62"/>
        <v>100</v>
      </c>
      <c r="BS113" s="290" t="e">
        <f>($D113-Stoff!$P113*$D113)*EXP(-($F113+Stoff!$L113*365)*BR113)</f>
        <v>#VALUE!</v>
      </c>
      <c r="BT113" s="291" t="e">
        <f>(Stoff!$P113*$D113)*EXP(-'1a. Spredningsmodell input'!$B$43*BR113)</f>
        <v>#VALUE!</v>
      </c>
      <c r="BU113" s="290" t="e">
        <f>($D113-Stoff!$P113*$D113-BS113)*($F113/($F113+Stoff!$L113*365))</f>
        <v>#VALUE!</v>
      </c>
      <c r="BV113" s="290" t="e">
        <f>(Stoff!$P113*$D113)-BT113</f>
        <v>#VALUE!</v>
      </c>
      <c r="BW113" s="290" t="e">
        <f>($O113+BU113)*EXP(-($N113+Stoff!$M113*365)*BR113)</f>
        <v>#VALUE!</v>
      </c>
      <c r="BX113" s="290" t="e">
        <f>(Stoff!$P113*$O113+BV113)*EXP(-('1a. Spredningsmodell input'!$B$46)*BR113)</f>
        <v>#VALUE!</v>
      </c>
      <c r="BY113" s="292" t="e">
        <f>((BW113+BX113)*1000000000)/('1a. Spredningsmodell input'!$B$45*1000)</f>
        <v>#VALUE!</v>
      </c>
      <c r="BZ113" s="294" t="e">
        <f>0.001*BY113/('1a. Spredningsmodell input'!$C$25+'1a. Spredningsmodell input'!$C$26/Mellomregninger!$K113)</f>
        <v>#VALUE!</v>
      </c>
      <c r="CA113" s="294" t="e">
        <f>1000*BZ113/$K113+BX113*1000000000/('1a. Spredningsmodell input'!$B$45*1000)</f>
        <v>#VALUE!</v>
      </c>
      <c r="CB113" s="294" t="e">
        <f t="shared" si="42"/>
        <v>#VALUE!</v>
      </c>
      <c r="CC113" s="294" t="e">
        <f>BX113*1000000000/('1a. Spredningsmodell input'!$B$45*1000)</f>
        <v>#VALUE!</v>
      </c>
      <c r="CD113" s="294" t="e">
        <f>V113+'1a. Spredningsmodell input'!$C$35</f>
        <v>#VALUE!</v>
      </c>
      <c r="CE113" s="294" t="e">
        <f>($S113+$Q113*($O113+$I113*($D113*(1-Stoff!$P113))*(1-EXP(-($F113+Stoff!$L113*365)*CD113)))*(1-EXP(-($N113+Stoff!$M113*365)*CD113)))</f>
        <v>#VALUE!</v>
      </c>
      <c r="CF113" s="294" t="e">
        <f t="shared" si="43"/>
        <v>#VALUE!</v>
      </c>
      <c r="CG113" s="296" t="e">
        <f>(CF113/1000000)*'1a. Spredningsmodell input'!$B$49*'1a. Spredningsmodell input'!$C$35</f>
        <v>#VALUE!</v>
      </c>
      <c r="CH113" s="294" t="e">
        <f t="shared" si="44"/>
        <v>#VALUE!</v>
      </c>
      <c r="CI113" s="290" t="e">
        <f>(CH113/1000000)*'1a. Spredningsmodell input'!$B$49*'1a. Spredningsmodell input'!$C$35</f>
        <v>#VALUE!</v>
      </c>
      <c r="CJ113" s="297" t="e">
        <f>($S113)*EXP(-(Stoff!$N113*365+$U113)*CD113)+CG113</f>
        <v>#VALUE!</v>
      </c>
      <c r="CK113" s="297" t="e">
        <f>(Stoff!$P113*$S113+CI113)*EXP(-$T113*CD113)</f>
        <v>#VALUE!</v>
      </c>
      <c r="CL113" s="297" t="e">
        <f>(CJ113+CK113)*1000000000/('1a. Spredningsmodell input'!$C$36*1000)</f>
        <v>#VALUE!</v>
      </c>
      <c r="CM113" s="297" t="e">
        <f>$G113*(1-EXP(-'1a. Spredningsmodell input'!$B$43*Mellomregninger!CD113))*(1-EXP(-'1a. Spredningsmodell input'!$B$46*Mellomregninger!CD113))</f>
        <v>#VALUE!</v>
      </c>
      <c r="CN113" s="297"/>
      <c r="CO113" s="297"/>
      <c r="CP113" s="290">
        <f>IF(ISNUMBER(AH113),AH113+'1a. Spredningsmodell input'!$C$35,'1a. Spredningsmodell input'!$C$35)</f>
        <v>1</v>
      </c>
      <c r="CQ113" s="294" t="e">
        <f>($S113+$Q113*($O113+$I113*($D113*(1-Stoff!$P113))*(1-EXP(-($F113+Stoff!$L113*365)*CP113)))*(1-EXP(-($N113+Stoff!$M113*365)*CP113)))</f>
        <v>#VALUE!</v>
      </c>
      <c r="CR113" s="294" t="e">
        <f t="shared" si="45"/>
        <v>#VALUE!</v>
      </c>
      <c r="CS113" s="296" t="e">
        <f>(CR113/1000000)*('1a. Spredningsmodell input'!$B$49*'1a. Spredningsmodell input'!$C$35)</f>
        <v>#VALUE!</v>
      </c>
      <c r="CT113" s="294" t="e">
        <f t="shared" si="46"/>
        <v>#VALUE!</v>
      </c>
      <c r="CU113" s="290" t="e">
        <f>(CT113/1000000)*('1a. Spredningsmodell input'!$B$49)*'1a. Spredningsmodell input'!$C$35</f>
        <v>#VALUE!</v>
      </c>
      <c r="CV113" s="297" t="e">
        <f>($S113)*EXP(-(Stoff!$N113*365+$U113)*CP113)+CS113</f>
        <v>#VALUE!</v>
      </c>
      <c r="CW113" s="297" t="e">
        <f>(Stoff!$P113*$S113+CU113)*EXP(-$T113*CP113)</f>
        <v>#VALUE!</v>
      </c>
      <c r="CX113" s="297">
        <f>IF(ISERROR(CV113),0,(CV113+CW113)*1000000000/('1a. Spredningsmodell input'!$C$36*1000))</f>
        <v>0</v>
      </c>
      <c r="CY113" s="297" t="e">
        <f>$G113*(1-EXP(-'1a. Spredningsmodell input'!$B$43*Mellomregninger!CP113))*(1-EXP(-'1a. Spredningsmodell input'!$B$46*Mellomregninger!CP113))</f>
        <v>#VALUE!</v>
      </c>
      <c r="CZ113" s="297"/>
      <c r="DA113" s="297"/>
      <c r="DB113" s="262">
        <f t="shared" si="63"/>
        <v>5</v>
      </c>
      <c r="DC113" s="298" t="e">
        <f>($S113+$Q113*($O113+$I113*($D113*(1-Stoff!$P113))*(1-EXP(-($F113+Stoff!$L113*365)*DB113)))*(1-EXP(-($N113+Stoff!$M113*365)*DB113)))</f>
        <v>#VALUE!</v>
      </c>
      <c r="DD113" s="294" t="e">
        <f t="shared" si="48"/>
        <v>#VALUE!</v>
      </c>
      <c r="DE113" s="296" t="e">
        <f>(DD113/1000000)*('1a. Spredningsmodell input'!$B$49)*'1a. Spredningsmodell input'!$C$35</f>
        <v>#VALUE!</v>
      </c>
      <c r="DF113" s="294" t="e">
        <f t="shared" si="49"/>
        <v>#VALUE!</v>
      </c>
      <c r="DG113" s="290" t="e">
        <f>(DF113/1000000)*('1a. Spredningsmodell input'!$B$49)*'1a. Spredningsmodell input'!$C$35</f>
        <v>#VALUE!</v>
      </c>
      <c r="DH113" s="297" t="e">
        <f>($S113)*EXP(-(Stoff!$N113*365+$U113)*DB113)+DE113</f>
        <v>#VALUE!</v>
      </c>
      <c r="DI113" s="297" t="e">
        <f>(Stoff!$P113*$S113+DG113)*EXP(-$T113*DB113)</f>
        <v>#VALUE!</v>
      </c>
      <c r="DJ113" s="297" t="e">
        <f>(DH113+DI113)*1000000000/('1a. Spredningsmodell input'!$C$36*1000)</f>
        <v>#VALUE!</v>
      </c>
      <c r="DK113" s="297" t="e">
        <f>$G113*(1-EXP(-'1a. Spredningsmodell input'!$B$43*Mellomregninger!DB113))*(1-EXP(-'1a. Spredningsmodell input'!$B$46*Mellomregninger!DB113))</f>
        <v>#VALUE!</v>
      </c>
      <c r="DL113" s="297"/>
      <c r="DM113" s="297"/>
      <c r="DN113" s="262">
        <f t="shared" si="64"/>
        <v>20</v>
      </c>
      <c r="DO113" s="298" t="e">
        <f>($S113+$Q113*($O113+$I113*($D113*(1-Stoff!$P113))*(1-EXP(-($F113+Stoff!$L113*365)*DN113)))*(1-EXP(-($N113+Stoff!$M113*365)*DN113)))</f>
        <v>#VALUE!</v>
      </c>
      <c r="DP113" s="294" t="e">
        <f t="shared" si="51"/>
        <v>#VALUE!</v>
      </c>
      <c r="DQ113" s="296" t="e">
        <f>(DP113/1000000)*('1a. Spredningsmodell input'!$B$49)*'1a. Spredningsmodell input'!$C$35</f>
        <v>#VALUE!</v>
      </c>
      <c r="DR113" s="294" t="e">
        <f t="shared" si="52"/>
        <v>#VALUE!</v>
      </c>
      <c r="DS113" s="290" t="e">
        <f>(DR113/1000000)*('1a. Spredningsmodell input'!$B$49)*'1a. Spredningsmodell input'!$C$35</f>
        <v>#VALUE!</v>
      </c>
      <c r="DT113" s="297" t="e">
        <f>($S113)*EXP(-(Stoff!$N113*365+$U113)*DN113)+DQ113</f>
        <v>#VALUE!</v>
      </c>
      <c r="DU113" s="297" t="e">
        <f>(Stoff!$P113*$S113+DS113)*EXP(-$T113*DN113)</f>
        <v>#VALUE!</v>
      </c>
      <c r="DV113" s="297" t="e">
        <f>(DT113+DU113)*1000000000/('1a. Spredningsmodell input'!$C$36*1000)</f>
        <v>#VALUE!</v>
      </c>
      <c r="DW113" s="297" t="e">
        <f>$G113*(1-EXP(-'1a. Spredningsmodell input'!$B$43*Mellomregninger!DN113))*(1-EXP(-'1a. Spredningsmodell input'!$B$46*Mellomregninger!DN113))</f>
        <v>#VALUE!</v>
      </c>
      <c r="DX113" s="297"/>
      <c r="DY113" s="297"/>
      <c r="DZ113" s="262">
        <f t="shared" si="65"/>
        <v>100</v>
      </c>
      <c r="EA113" s="298" t="e">
        <f>($S113+$Q113*($O113+$I113*($D113*(1-Stoff!$P113))*(1-EXP(-($F113+Stoff!$L113*365)*DZ113)))*(1-EXP(-($N113+Stoff!$M113*365)*DZ113)))</f>
        <v>#VALUE!</v>
      </c>
      <c r="EB113" s="294" t="e">
        <f t="shared" si="54"/>
        <v>#VALUE!</v>
      </c>
      <c r="EC113" s="296" t="e">
        <f>(EB113/1000000)*('1a. Spredningsmodell input'!$B$49)*'1a. Spredningsmodell input'!$C$35</f>
        <v>#VALUE!</v>
      </c>
      <c r="ED113" s="294" t="e">
        <f t="shared" si="55"/>
        <v>#VALUE!</v>
      </c>
      <c r="EE113" s="290" t="e">
        <f>(ED113/1000000)*('1a. Spredningsmodell input'!$B$49)*'1a. Spredningsmodell input'!$C$35</f>
        <v>#VALUE!</v>
      </c>
      <c r="EF113" s="297" t="e">
        <f>($S113)*EXP(-(Stoff!$N113*365+$U113)*DZ113)+EC113</f>
        <v>#VALUE!</v>
      </c>
      <c r="EG113" s="297" t="e">
        <f>(Stoff!$P113*$S113+EE113)*EXP(-$T113*DZ113)</f>
        <v>#VALUE!</v>
      </c>
      <c r="EH113" s="297" t="e">
        <f>(EF113+EG113)*1000000000/('1a. Spredningsmodell input'!$C$36*1000)</f>
        <v>#VALUE!</v>
      </c>
      <c r="EI113" s="297" t="e">
        <f>$G113*(1-EXP(-'1a. Spredningsmodell input'!$B$43*Mellomregninger!DZ113))*(1-EXP(-'1a. Spredningsmodell input'!$B$46*Mellomregninger!DZ113))</f>
        <v>#VALUE!</v>
      </c>
      <c r="EJ113" s="297"/>
      <c r="EK113" s="297"/>
      <c r="EL113" s="262">
        <f t="shared" si="66"/>
        <v>1.0000000000000001E+25</v>
      </c>
      <c r="EM113" s="294" t="e">
        <f>($S113+$Q113*($O113+$I113*($D113*(1-Stoff!$P113))*(1-EXP(-($F113+Stoff!$L113*365)*EL113)))*(1-EXP(-($N113+Stoff!$M113*365)*EL113)))</f>
        <v>#VALUE!</v>
      </c>
      <c r="EN113" s="296" t="e">
        <f>($S113+$Q113*($O113+$I113*($D113*(1-Stoff!$P113))*(1-EXP(-($F113+Stoff!$L113*365)*(EL113-'1a. Spredningsmodell input'!$C$35))))*(1-EXP(-($N113+Stoff!$M113*365)*(EL113-'1a. Spredningsmodell input'!$C$35))))</f>
        <v>#VALUE!</v>
      </c>
      <c r="EO113" s="294" t="e">
        <f>IF(EL113&lt;'1a. Spredningsmodell input'!$C$35,EM113-($S113)*EXP(-(Stoff!$N113*365+$U113)*EL113),EM113-EN113)</f>
        <v>#VALUE!</v>
      </c>
      <c r="EP113" s="290" t="e">
        <f>((($D113*(Stoff!$P113))*(1-EXP(-'1a. Spredningsmodell input'!$B$43*EL113)))*(1-EXP(-'1a. Spredningsmodell input'!$B$46*EL113)))</f>
        <v>#VALUE!</v>
      </c>
      <c r="EQ113" s="294" t="e">
        <f>((($D113*(Stoff!$P113))*(1-EXP(-'1a. Spredningsmodell input'!$B$43*(EL113-'1a. Spredningsmodell input'!$C$35))))*(1-EXP(-'1a. Spredningsmodell input'!$B$46*(EL113-'1a. Spredningsmodell input'!$C$35))))</f>
        <v>#VALUE!</v>
      </c>
      <c r="ER113" s="290" t="e">
        <f>IF(EL113&lt;'1a. Spredningsmodell input'!$C$35,0,EP113-EQ113)</f>
        <v>#VALUE!</v>
      </c>
      <c r="ES113" s="297" t="e">
        <f>($S113)*EXP(-(Stoff!$N113*365+$U113)*EL113)+EO113</f>
        <v>#VALUE!</v>
      </c>
      <c r="ET113" s="297" t="e">
        <f>(Stoff!$P113*$S113+ER113)*EXP(-$T113*EL113)</f>
        <v>#VALUE!</v>
      </c>
      <c r="EU113" s="297" t="e">
        <f>(ES113+ET113)*1000000000/('1a. Spredningsmodell input'!$C$36*1000)</f>
        <v>#VALUE!</v>
      </c>
      <c r="EV113" s="262" t="e">
        <f t="shared" si="67"/>
        <v>#VALUE!</v>
      </c>
      <c r="EW113" s="299" t="e">
        <f t="shared" si="68"/>
        <v>#VALUE!</v>
      </c>
      <c r="EX113" s="262" t="e">
        <f t="shared" si="69"/>
        <v>#VALUE!</v>
      </c>
    </row>
    <row r="114" spans="1:154" x14ac:dyDescent="0.35">
      <c r="A114" s="301" t="str">
        <f>Stoff!A114</f>
        <v>nystoff 28</v>
      </c>
      <c r="B114" s="34" t="str">
        <f>IF(ISNUMBER('1c. Kons. porevann'!E114),1000*'1c. Kons. porevann'!E114,IF(ISNUMBER('1b. Kons. umettet jord'!E114),1000*'1b. Kons. umettet jord'!E114/C114,""))</f>
        <v/>
      </c>
      <c r="C114" s="244">
        <f>IF(Stoff!B114="uorganisk",Stoff!C114,Stoff!D114*'1a. Spredningsmodell input'!$C$11)</f>
        <v>0</v>
      </c>
      <c r="D114" s="34" t="str">
        <f>IF(ISNUMBER(B114),0.000001*('1b. Kons. umettet jord'!G114*'1a. Spredningsmodell input'!$C$12+B114*0.001*'1a. Spredningsmodell input'!$C$14)*1000*'1a. Spredningsmodell input'!$B$41*'1a. Spredningsmodell input'!$C$18,"")</f>
        <v/>
      </c>
      <c r="E114" s="283">
        <f>C114*'1a. Spredningsmodell input'!$C$12/'1a. Spredningsmodell input'!$C$14+1</f>
        <v>1</v>
      </c>
      <c r="F114" s="284">
        <f>'1a. Spredningsmodell input'!$B$43/E114</f>
        <v>1.4999999999999998</v>
      </c>
      <c r="G114" s="34" t="e">
        <f>Stoff!P114*Mellomregninger!D114</f>
        <v>#VALUE!</v>
      </c>
      <c r="H114" s="283" t="e">
        <f>(D114-G114)*(F114/(F114+Stoff!L114))</f>
        <v>#VALUE!</v>
      </c>
      <c r="I114" s="283">
        <f>F114/(F114+Stoff!L114)</f>
        <v>1</v>
      </c>
      <c r="J114" s="285" t="str">
        <f>IF(B114="","",IF(ISNUMBER('1d. Kons. mettet sone'!E114),'1d. Kons. mettet sone'!E114,IF(ISNUMBER('1e. Kons. grunnvann'!E114),'1e. Kons. grunnvann'!E114*Mellomregninger!K114,0)))</f>
        <v/>
      </c>
      <c r="K114" s="286">
        <f>IF(Stoff!B114="uorganisk",Stoff!C114,Stoff!D114*'1a. Spredningsmodell input'!$C$24)</f>
        <v>0</v>
      </c>
      <c r="L114" s="27" t="e">
        <f>IF(ISNUMBER('1e. Kons. grunnvann'!E114),1000*'1e. Kons. grunnvann'!E114,1000*J114/K114)</f>
        <v>#VALUE!</v>
      </c>
      <c r="M114" s="34">
        <f>K114*'1a. Spredningsmodell input'!$C$25/'1a. Spredningsmodell input'!$C$26+1</f>
        <v>1</v>
      </c>
      <c r="N114" s="284">
        <f>'1a. Spredningsmodell input'!$C$26/M114</f>
        <v>0.4</v>
      </c>
      <c r="O114" s="287" t="e">
        <f>0.000000001*(J114*'1a. Spredningsmodell input'!$C$25+L114)*1000*'1a. Spredningsmodell input'!$B$45</f>
        <v>#VALUE!</v>
      </c>
      <c r="P114" s="287" t="e">
        <f>O114*Stoff!P114</f>
        <v>#VALUE!</v>
      </c>
      <c r="Q114" s="287">
        <f>N114/(N114+Stoff!M114)</f>
        <v>1</v>
      </c>
      <c r="R114" s="288">
        <f>IF(ISNUMBER('1f. Kons. resipient'!E114),'1f. Kons. resipient'!E114,0)</f>
        <v>0</v>
      </c>
      <c r="S114" s="288">
        <f>0.000000001*'1a. Spredningsmodell input'!$C$36*R114*1000</f>
        <v>0</v>
      </c>
      <c r="T114" s="288">
        <f>1/'1a. Spredningsmodell input'!$C$35</f>
        <v>1</v>
      </c>
      <c r="U114" s="288">
        <f>1/'1a. Spredningsmodell input'!$C$35</f>
        <v>1</v>
      </c>
      <c r="V114" s="300" t="e">
        <f>(1/($N114+Stoff!$L114))*(LN(($D114*$I114/($D114*$I114+$J114))*($F114+Stoff!$L114+$N114+Stoff!$M114)/($N114+Stoff!$M114)))</f>
        <v>#VALUE!</v>
      </c>
      <c r="W114" s="290" t="e">
        <f>($D114-Stoff!$P114*$D114)*EXP(-($F114+Stoff!$L114*365)*V114)</f>
        <v>#VALUE!</v>
      </c>
      <c r="X114" s="291" t="e">
        <f>(Stoff!$P114*$D114)*EXP(-'1a. Spredningsmodell input'!$B$43*V114)</f>
        <v>#VALUE!</v>
      </c>
      <c r="Y114" s="290" t="e">
        <f>($D114-Stoff!$P114*$D114-W114)*($F114/($F114+Stoff!$L114*365))</f>
        <v>#VALUE!</v>
      </c>
      <c r="Z114" s="290" t="e">
        <f>(Stoff!$P114*$D114)-X114</f>
        <v>#VALUE!</v>
      </c>
      <c r="AA114" s="290" t="e">
        <f>($O114+Y114)*EXP(-($N114+Stoff!$M114*365)*V114)</f>
        <v>#VALUE!</v>
      </c>
      <c r="AB114" s="290" t="e">
        <f>(Stoff!$P114*$O114+Z114)*EXP(-('1a. Spredningsmodell input'!$B$46)*V114)</f>
        <v>#VALUE!</v>
      </c>
      <c r="AC114" s="292" t="e">
        <f>((AA114+AB114)*1000000000)/('1a. Spredningsmodell input'!$B$45*1000)</f>
        <v>#VALUE!</v>
      </c>
      <c r="AD114" s="294" t="e">
        <f>0.001*AC114/('1a. Spredningsmodell input'!$C$25+'1a. Spredningsmodell input'!$C$26/Mellomregninger!$K114)</f>
        <v>#VALUE!</v>
      </c>
      <c r="AE114" s="294" t="e">
        <f>1000*AD114/$K114+AB114*1000000000/('1a. Spredningsmodell input'!$B$45*1000)</f>
        <v>#VALUE!</v>
      </c>
      <c r="AF114" s="294" t="e">
        <f t="shared" si="35"/>
        <v>#VALUE!</v>
      </c>
      <c r="AG114" s="294" t="e">
        <f>AB114*1000000000/('1a. Spredningsmodell input'!$B$45*1000)</f>
        <v>#VALUE!</v>
      </c>
      <c r="AH114" s="300" t="e">
        <f>(1/('1a. Spredningsmodell input'!$B$46))*(LN(($D114*Stoff!$P114/($D114*Stoff!$P114+$P114*Stoff!$P114))*('1a. Spredningsmodell input'!$B$43+'1a. Spredningsmodell input'!$B$46)/('1a. Spredningsmodell input'!$B$46)))</f>
        <v>#VALUE!</v>
      </c>
      <c r="AI114" s="290" t="e">
        <f>($D114-Stoff!$P114*$D114)*EXP(-($F114+Stoff!$L114*365)*AH114)</f>
        <v>#VALUE!</v>
      </c>
      <c r="AJ114" s="291" t="e">
        <f>(Stoff!$P114*$D114)*EXP(-'1a. Spredningsmodell input'!$B$43*AH114)</f>
        <v>#VALUE!</v>
      </c>
      <c r="AK114" s="290" t="e">
        <f>($D114-Stoff!$P114*$D114-AI114)*($F114/($F114+Stoff!$L114*365))</f>
        <v>#VALUE!</v>
      </c>
      <c r="AL114" s="290" t="e">
        <f>(Stoff!$P114*$D114)-AJ114</f>
        <v>#VALUE!</v>
      </c>
      <c r="AM114" s="290" t="e">
        <f>($O114+AK114)*EXP(-($N114+Stoff!$M114*365)*AH114)</f>
        <v>#VALUE!</v>
      </c>
      <c r="AN114" s="290" t="e">
        <f>(Stoff!$P114*$O114+AL114)*EXP(-('1a. Spredningsmodell input'!$B$46)*AH114)</f>
        <v>#VALUE!</v>
      </c>
      <c r="AO114" s="292" t="e">
        <f>((AM114+AN114)*1000000000)/('1a. Spredningsmodell input'!$B$45*1000)</f>
        <v>#VALUE!</v>
      </c>
      <c r="AP114" s="294" t="e">
        <f>0.001*AO114/('1a. Spredningsmodell input'!$C$25+'1a. Spredningsmodell input'!$C$26/Mellomregninger!$K114)</f>
        <v>#VALUE!</v>
      </c>
      <c r="AQ114" s="294" t="e">
        <f>1000*AP114/$K114+AN114*1000000000/('1a. Spredningsmodell input'!$B$45*1000)</f>
        <v>#VALUE!</v>
      </c>
      <c r="AR114" s="294" t="e">
        <f t="shared" si="36"/>
        <v>#VALUE!</v>
      </c>
      <c r="AS114" s="294" t="e">
        <f>AN114*1000000000/('1a. Spredningsmodell input'!$B$45*1000)</f>
        <v>#VALUE!</v>
      </c>
      <c r="AT114" s="295">
        <f t="shared" si="60"/>
        <v>5</v>
      </c>
      <c r="AU114" s="290" t="e">
        <f>($D114-Stoff!$P114*$D114)*EXP(-($F114+Stoff!$L114*365)*AT114)</f>
        <v>#VALUE!</v>
      </c>
      <c r="AV114" s="291" t="e">
        <f>(Stoff!$P114*$D114)*EXP(-'1a. Spredningsmodell input'!$B$43*AT114)</f>
        <v>#VALUE!</v>
      </c>
      <c r="AW114" s="290" t="e">
        <f>($D114-Stoff!$P114*$D114-AU114)*($F114/($F114+Stoff!$L114*365))</f>
        <v>#VALUE!</v>
      </c>
      <c r="AX114" s="290" t="e">
        <f>(Stoff!$P114*$D114)-AV114</f>
        <v>#VALUE!</v>
      </c>
      <c r="AY114" s="290" t="e">
        <f>($O114+AW114)*EXP(-($N114+Stoff!$M114*365)*AT114)</f>
        <v>#VALUE!</v>
      </c>
      <c r="AZ114" s="290" t="e">
        <f>(Stoff!$P114*$O114+AX114)*EXP(-('1a. Spredningsmodell input'!$B$46)*AT114)</f>
        <v>#VALUE!</v>
      </c>
      <c r="BA114" s="292" t="e">
        <f>((AY114+AZ114)*1000000000)/('1a. Spredningsmodell input'!$B$45*1000)</f>
        <v>#VALUE!</v>
      </c>
      <c r="BB114" s="294" t="e">
        <f>0.001*BA114/('1a. Spredningsmodell input'!$C$25+'1a. Spredningsmodell input'!$C$26/Mellomregninger!$K114)</f>
        <v>#VALUE!</v>
      </c>
      <c r="BC114" s="294" t="e">
        <f>1000*BB114/$K114+AZ114*1000000000/('1a. Spredningsmodell input'!$B$45*1000)</f>
        <v>#VALUE!</v>
      </c>
      <c r="BD114" s="294" t="e">
        <f t="shared" si="38"/>
        <v>#VALUE!</v>
      </c>
      <c r="BE114" s="294" t="e">
        <f>AZ114*1000000000/('1a. Spredningsmodell input'!$B$45*1000)</f>
        <v>#VALUE!</v>
      </c>
      <c r="BF114" s="295">
        <f t="shared" si="61"/>
        <v>20</v>
      </c>
      <c r="BG114" s="290" t="e">
        <f>($D114-Stoff!$P114*$D114)*EXP(-($F114+Stoff!$L114*365)*BF114)</f>
        <v>#VALUE!</v>
      </c>
      <c r="BH114" s="291" t="e">
        <f>(Stoff!$P114*$D114)*EXP(-'1a. Spredningsmodell input'!$B$43*BF114)</f>
        <v>#VALUE!</v>
      </c>
      <c r="BI114" s="290" t="e">
        <f>($D114-Stoff!$P114*$D114-BG114)*($F114/($F114+Stoff!$L114*365))</f>
        <v>#VALUE!</v>
      </c>
      <c r="BJ114" s="290" t="e">
        <f>(Stoff!$P114*$D114)-BH114</f>
        <v>#VALUE!</v>
      </c>
      <c r="BK114" s="290" t="e">
        <f>($O114+BI114)*EXP(-($N114+Stoff!$M114*365)*BF114)</f>
        <v>#VALUE!</v>
      </c>
      <c r="BL114" s="290" t="e">
        <f>(Stoff!$P114*$O114+BJ114)*EXP(-('1a. Spredningsmodell input'!$B$46)*BF114)</f>
        <v>#VALUE!</v>
      </c>
      <c r="BM114" s="292" t="e">
        <f>((BK114+BL114)*1000000000)/('1a. Spredningsmodell input'!$B$45*1000)</f>
        <v>#VALUE!</v>
      </c>
      <c r="BN114" s="294" t="e">
        <f>0.001*BM114/('1a. Spredningsmodell input'!$C$25+'1a. Spredningsmodell input'!$C$26/Mellomregninger!$K114)</f>
        <v>#VALUE!</v>
      </c>
      <c r="BO114" s="294" t="e">
        <f>1000*BN114/$K114+BL114*1000000000/('1a. Spredningsmodell input'!$B$45*1000)</f>
        <v>#VALUE!</v>
      </c>
      <c r="BP114" s="294" t="e">
        <f t="shared" si="40"/>
        <v>#VALUE!</v>
      </c>
      <c r="BQ114" s="294" t="e">
        <f>BL114*1000000000/('1a. Spredningsmodell input'!$B$45*1000)</f>
        <v>#VALUE!</v>
      </c>
      <c r="BR114" s="295">
        <f t="shared" si="62"/>
        <v>100</v>
      </c>
      <c r="BS114" s="290" t="e">
        <f>($D114-Stoff!$P114*$D114)*EXP(-($F114+Stoff!$L114*365)*BR114)</f>
        <v>#VALUE!</v>
      </c>
      <c r="BT114" s="291" t="e">
        <f>(Stoff!$P114*$D114)*EXP(-'1a. Spredningsmodell input'!$B$43*BR114)</f>
        <v>#VALUE!</v>
      </c>
      <c r="BU114" s="290" t="e">
        <f>($D114-Stoff!$P114*$D114-BS114)*($F114/($F114+Stoff!$L114*365))</f>
        <v>#VALUE!</v>
      </c>
      <c r="BV114" s="290" t="e">
        <f>(Stoff!$P114*$D114)-BT114</f>
        <v>#VALUE!</v>
      </c>
      <c r="BW114" s="290" t="e">
        <f>($O114+BU114)*EXP(-($N114+Stoff!$M114*365)*BR114)</f>
        <v>#VALUE!</v>
      </c>
      <c r="BX114" s="290" t="e">
        <f>(Stoff!$P114*$O114+BV114)*EXP(-('1a. Spredningsmodell input'!$B$46)*BR114)</f>
        <v>#VALUE!</v>
      </c>
      <c r="BY114" s="292" t="e">
        <f>((BW114+BX114)*1000000000)/('1a. Spredningsmodell input'!$B$45*1000)</f>
        <v>#VALUE!</v>
      </c>
      <c r="BZ114" s="294" t="e">
        <f>0.001*BY114/('1a. Spredningsmodell input'!$C$25+'1a. Spredningsmodell input'!$C$26/Mellomregninger!$K114)</f>
        <v>#VALUE!</v>
      </c>
      <c r="CA114" s="294" t="e">
        <f>1000*BZ114/$K114+BX114*1000000000/('1a. Spredningsmodell input'!$B$45*1000)</f>
        <v>#VALUE!</v>
      </c>
      <c r="CB114" s="294" t="e">
        <f t="shared" si="42"/>
        <v>#VALUE!</v>
      </c>
      <c r="CC114" s="294" t="e">
        <f>BX114*1000000000/('1a. Spredningsmodell input'!$B$45*1000)</f>
        <v>#VALUE!</v>
      </c>
      <c r="CD114" s="294" t="e">
        <f>V114+'1a. Spredningsmodell input'!$C$35</f>
        <v>#VALUE!</v>
      </c>
      <c r="CE114" s="294" t="e">
        <f>($S114+$Q114*($O114+$I114*($D114*(1-Stoff!$P114))*(1-EXP(-($F114+Stoff!$L114*365)*CD114)))*(1-EXP(-($N114+Stoff!$M114*365)*CD114)))</f>
        <v>#VALUE!</v>
      </c>
      <c r="CF114" s="294" t="e">
        <f t="shared" si="43"/>
        <v>#VALUE!</v>
      </c>
      <c r="CG114" s="296" t="e">
        <f>(CF114/1000000)*'1a. Spredningsmodell input'!$B$49*'1a. Spredningsmodell input'!$C$35</f>
        <v>#VALUE!</v>
      </c>
      <c r="CH114" s="294" t="e">
        <f t="shared" si="44"/>
        <v>#VALUE!</v>
      </c>
      <c r="CI114" s="290" t="e">
        <f>(CH114/1000000)*'1a. Spredningsmodell input'!$B$49*'1a. Spredningsmodell input'!$C$35</f>
        <v>#VALUE!</v>
      </c>
      <c r="CJ114" s="297" t="e">
        <f>($S114)*EXP(-(Stoff!$N114*365+$U114)*CD114)+CG114</f>
        <v>#VALUE!</v>
      </c>
      <c r="CK114" s="297" t="e">
        <f>(Stoff!$P114*$S114+CI114)*EXP(-$T114*CD114)</f>
        <v>#VALUE!</v>
      </c>
      <c r="CL114" s="297" t="e">
        <f>(CJ114+CK114)*1000000000/('1a. Spredningsmodell input'!$C$36*1000)</f>
        <v>#VALUE!</v>
      </c>
      <c r="CM114" s="297" t="e">
        <f>$G114*(1-EXP(-'1a. Spredningsmodell input'!$B$43*Mellomregninger!CD114))*(1-EXP(-'1a. Spredningsmodell input'!$B$46*Mellomregninger!CD114))</f>
        <v>#VALUE!</v>
      </c>
      <c r="CN114" s="297"/>
      <c r="CO114" s="297"/>
      <c r="CP114" s="290">
        <f>IF(ISNUMBER(AH114),AH114+'1a. Spredningsmodell input'!$C$35,'1a. Spredningsmodell input'!$C$35)</f>
        <v>1</v>
      </c>
      <c r="CQ114" s="294" t="e">
        <f>($S114+$Q114*($O114+$I114*($D114*(1-Stoff!$P114))*(1-EXP(-($F114+Stoff!$L114*365)*CP114)))*(1-EXP(-($N114+Stoff!$M114*365)*CP114)))</f>
        <v>#VALUE!</v>
      </c>
      <c r="CR114" s="294" t="e">
        <f t="shared" si="45"/>
        <v>#VALUE!</v>
      </c>
      <c r="CS114" s="296" t="e">
        <f>(CR114/1000000)*('1a. Spredningsmodell input'!$B$49*'1a. Spredningsmodell input'!$C$35)</f>
        <v>#VALUE!</v>
      </c>
      <c r="CT114" s="294" t="e">
        <f t="shared" si="46"/>
        <v>#VALUE!</v>
      </c>
      <c r="CU114" s="290" t="e">
        <f>(CT114/1000000)*('1a. Spredningsmodell input'!$B$49)*'1a. Spredningsmodell input'!$C$35</f>
        <v>#VALUE!</v>
      </c>
      <c r="CV114" s="297" t="e">
        <f>($S114)*EXP(-(Stoff!$N114*365+$U114)*CP114)+CS114</f>
        <v>#VALUE!</v>
      </c>
      <c r="CW114" s="297" t="e">
        <f>(Stoff!$P114*$S114+CU114)*EXP(-$T114*CP114)</f>
        <v>#VALUE!</v>
      </c>
      <c r="CX114" s="297">
        <f>IF(ISERROR(CV114),0,(CV114+CW114)*1000000000/('1a. Spredningsmodell input'!$C$36*1000))</f>
        <v>0</v>
      </c>
      <c r="CY114" s="297" t="e">
        <f>$G114*(1-EXP(-'1a. Spredningsmodell input'!$B$43*Mellomregninger!CP114))*(1-EXP(-'1a. Spredningsmodell input'!$B$46*Mellomregninger!CP114))</f>
        <v>#VALUE!</v>
      </c>
      <c r="CZ114" s="297"/>
      <c r="DA114" s="297"/>
      <c r="DB114" s="262">
        <f t="shared" si="63"/>
        <v>5</v>
      </c>
      <c r="DC114" s="298" t="e">
        <f>($S114+$Q114*($O114+$I114*($D114*(1-Stoff!$P114))*(1-EXP(-($F114+Stoff!$L114*365)*DB114)))*(1-EXP(-($N114+Stoff!$M114*365)*DB114)))</f>
        <v>#VALUE!</v>
      </c>
      <c r="DD114" s="294" t="e">
        <f t="shared" si="48"/>
        <v>#VALUE!</v>
      </c>
      <c r="DE114" s="296" t="e">
        <f>(DD114/1000000)*('1a. Spredningsmodell input'!$B$49)*'1a. Spredningsmodell input'!$C$35</f>
        <v>#VALUE!</v>
      </c>
      <c r="DF114" s="294" t="e">
        <f t="shared" si="49"/>
        <v>#VALUE!</v>
      </c>
      <c r="DG114" s="290" t="e">
        <f>(DF114/1000000)*('1a. Spredningsmodell input'!$B$49)*'1a. Spredningsmodell input'!$C$35</f>
        <v>#VALUE!</v>
      </c>
      <c r="DH114" s="297" t="e">
        <f>($S114)*EXP(-(Stoff!$N114*365+$U114)*DB114)+DE114</f>
        <v>#VALUE!</v>
      </c>
      <c r="DI114" s="297" t="e">
        <f>(Stoff!$P114*$S114+DG114)*EXP(-$T114*DB114)</f>
        <v>#VALUE!</v>
      </c>
      <c r="DJ114" s="297" t="e">
        <f>(DH114+DI114)*1000000000/('1a. Spredningsmodell input'!$C$36*1000)</f>
        <v>#VALUE!</v>
      </c>
      <c r="DK114" s="297" t="e">
        <f>$G114*(1-EXP(-'1a. Spredningsmodell input'!$B$43*Mellomregninger!DB114))*(1-EXP(-'1a. Spredningsmodell input'!$B$46*Mellomregninger!DB114))</f>
        <v>#VALUE!</v>
      </c>
      <c r="DL114" s="297"/>
      <c r="DM114" s="297"/>
      <c r="DN114" s="262">
        <f t="shared" si="64"/>
        <v>20</v>
      </c>
      <c r="DO114" s="298" t="e">
        <f>($S114+$Q114*($O114+$I114*($D114*(1-Stoff!$P114))*(1-EXP(-($F114+Stoff!$L114*365)*DN114)))*(1-EXP(-($N114+Stoff!$M114*365)*DN114)))</f>
        <v>#VALUE!</v>
      </c>
      <c r="DP114" s="294" t="e">
        <f t="shared" si="51"/>
        <v>#VALUE!</v>
      </c>
      <c r="DQ114" s="296" t="e">
        <f>(DP114/1000000)*('1a. Spredningsmodell input'!$B$49)*'1a. Spredningsmodell input'!$C$35</f>
        <v>#VALUE!</v>
      </c>
      <c r="DR114" s="294" t="e">
        <f t="shared" si="52"/>
        <v>#VALUE!</v>
      </c>
      <c r="DS114" s="290" t="e">
        <f>(DR114/1000000)*('1a. Spredningsmodell input'!$B$49)*'1a. Spredningsmodell input'!$C$35</f>
        <v>#VALUE!</v>
      </c>
      <c r="DT114" s="297" t="e">
        <f>($S114)*EXP(-(Stoff!$N114*365+$U114)*DN114)+DQ114</f>
        <v>#VALUE!</v>
      </c>
      <c r="DU114" s="297" t="e">
        <f>(Stoff!$P114*$S114+DS114)*EXP(-$T114*DN114)</f>
        <v>#VALUE!</v>
      </c>
      <c r="DV114" s="297" t="e">
        <f>(DT114+DU114)*1000000000/('1a. Spredningsmodell input'!$C$36*1000)</f>
        <v>#VALUE!</v>
      </c>
      <c r="DW114" s="297" t="e">
        <f>$G114*(1-EXP(-'1a. Spredningsmodell input'!$B$43*Mellomregninger!DN114))*(1-EXP(-'1a. Spredningsmodell input'!$B$46*Mellomregninger!DN114))</f>
        <v>#VALUE!</v>
      </c>
      <c r="DX114" s="297"/>
      <c r="DY114" s="297"/>
      <c r="DZ114" s="262">
        <f t="shared" si="65"/>
        <v>100</v>
      </c>
      <c r="EA114" s="298" t="e">
        <f>($S114+$Q114*($O114+$I114*($D114*(1-Stoff!$P114))*(1-EXP(-($F114+Stoff!$L114*365)*DZ114)))*(1-EXP(-($N114+Stoff!$M114*365)*DZ114)))</f>
        <v>#VALUE!</v>
      </c>
      <c r="EB114" s="294" t="e">
        <f t="shared" si="54"/>
        <v>#VALUE!</v>
      </c>
      <c r="EC114" s="296" t="e">
        <f>(EB114/1000000)*('1a. Spredningsmodell input'!$B$49)*'1a. Spredningsmodell input'!$C$35</f>
        <v>#VALUE!</v>
      </c>
      <c r="ED114" s="294" t="e">
        <f t="shared" si="55"/>
        <v>#VALUE!</v>
      </c>
      <c r="EE114" s="290" t="e">
        <f>(ED114/1000000)*('1a. Spredningsmodell input'!$B$49)*'1a. Spredningsmodell input'!$C$35</f>
        <v>#VALUE!</v>
      </c>
      <c r="EF114" s="297" t="e">
        <f>($S114)*EXP(-(Stoff!$N114*365+$U114)*DZ114)+EC114</f>
        <v>#VALUE!</v>
      </c>
      <c r="EG114" s="297" t="e">
        <f>(Stoff!$P114*$S114+EE114)*EXP(-$T114*DZ114)</f>
        <v>#VALUE!</v>
      </c>
      <c r="EH114" s="297" t="e">
        <f>(EF114+EG114)*1000000000/('1a. Spredningsmodell input'!$C$36*1000)</f>
        <v>#VALUE!</v>
      </c>
      <c r="EI114" s="297" t="e">
        <f>$G114*(1-EXP(-'1a. Spredningsmodell input'!$B$43*Mellomregninger!DZ114))*(1-EXP(-'1a. Spredningsmodell input'!$B$46*Mellomregninger!DZ114))</f>
        <v>#VALUE!</v>
      </c>
      <c r="EJ114" s="297"/>
      <c r="EK114" s="297"/>
      <c r="EL114" s="262">
        <f t="shared" si="66"/>
        <v>1.0000000000000001E+25</v>
      </c>
      <c r="EM114" s="294" t="e">
        <f>($S114+$Q114*($O114+$I114*($D114*(1-Stoff!$P114))*(1-EXP(-($F114+Stoff!$L114*365)*EL114)))*(1-EXP(-($N114+Stoff!$M114*365)*EL114)))</f>
        <v>#VALUE!</v>
      </c>
      <c r="EN114" s="296" t="e">
        <f>($S114+$Q114*($O114+$I114*($D114*(1-Stoff!$P114))*(1-EXP(-($F114+Stoff!$L114*365)*(EL114-'1a. Spredningsmodell input'!$C$35))))*(1-EXP(-($N114+Stoff!$M114*365)*(EL114-'1a. Spredningsmodell input'!$C$35))))</f>
        <v>#VALUE!</v>
      </c>
      <c r="EO114" s="294" t="e">
        <f>IF(EL114&lt;'1a. Spredningsmodell input'!$C$35,EM114-($S114)*EXP(-(Stoff!$N114*365+$U114)*EL114),EM114-EN114)</f>
        <v>#VALUE!</v>
      </c>
      <c r="EP114" s="290" t="e">
        <f>((($D114*(Stoff!$P114))*(1-EXP(-'1a. Spredningsmodell input'!$B$43*EL114)))*(1-EXP(-'1a. Spredningsmodell input'!$B$46*EL114)))</f>
        <v>#VALUE!</v>
      </c>
      <c r="EQ114" s="294" t="e">
        <f>((($D114*(Stoff!$P114))*(1-EXP(-'1a. Spredningsmodell input'!$B$43*(EL114-'1a. Spredningsmodell input'!$C$35))))*(1-EXP(-'1a. Spredningsmodell input'!$B$46*(EL114-'1a. Spredningsmodell input'!$C$35))))</f>
        <v>#VALUE!</v>
      </c>
      <c r="ER114" s="290" t="e">
        <f>IF(EL114&lt;'1a. Spredningsmodell input'!$C$35,0,EP114-EQ114)</f>
        <v>#VALUE!</v>
      </c>
      <c r="ES114" s="297" t="e">
        <f>($S114)*EXP(-(Stoff!$N114*365+$U114)*EL114)+EO114</f>
        <v>#VALUE!</v>
      </c>
      <c r="ET114" s="297" t="e">
        <f>(Stoff!$P114*$S114+ER114)*EXP(-$T114*EL114)</f>
        <v>#VALUE!</v>
      </c>
      <c r="EU114" s="297" t="e">
        <f>(ES114+ET114)*1000000000/('1a. Spredningsmodell input'!$C$36*1000)</f>
        <v>#VALUE!</v>
      </c>
      <c r="EV114" s="262" t="e">
        <f t="shared" si="67"/>
        <v>#VALUE!</v>
      </c>
      <c r="EW114" s="299" t="e">
        <f t="shared" si="68"/>
        <v>#VALUE!</v>
      </c>
      <c r="EX114" s="262" t="e">
        <f t="shared" si="69"/>
        <v>#VALUE!</v>
      </c>
    </row>
    <row r="115" spans="1:154" x14ac:dyDescent="0.35">
      <c r="T115" s="305"/>
      <c r="U115" s="305"/>
      <c r="V115" s="305"/>
    </row>
    <row r="116" spans="1:154" x14ac:dyDescent="0.35">
      <c r="T116" s="305"/>
      <c r="U116" s="305"/>
      <c r="V116" s="305"/>
    </row>
    <row r="117" spans="1:154" x14ac:dyDescent="0.35">
      <c r="T117" s="305"/>
      <c r="U117" s="305"/>
      <c r="V117" s="305"/>
    </row>
    <row r="118" spans="1:154" x14ac:dyDescent="0.35">
      <c r="T118" s="305"/>
      <c r="U118" s="305"/>
      <c r="V118" s="305"/>
    </row>
  </sheetData>
  <sheetProtection sheet="1" objects="1" scenarios="1" selectLockedCells="1"/>
  <conditionalFormatting sqref="C4:C114 A87:A114">
    <cfRule type="cellIs" dxfId="23" priority="15" stopIfTrue="1" operator="equal">
      <formula>""</formula>
    </cfRule>
  </conditionalFormatting>
  <conditionalFormatting sqref="A2:CF3 CH3 A115:CP1048576 GV1:XFD1048576 CG2:CP2 DB1:DB1048576 DN1:DN1048576 DZ1:DZ1048576 DC4:DJ114 DO4:DV114 EA4:EH114 CV2:CX3 DH2:DJ3 DT2:DV3 EF2:EH3 EL1:EX1048576 CJ3:CL3 CN3:CP3 A1:CP1 CZ2:DA114 DL2:DM114 DX2:DY114 EJ2:EK114 B4:CX86 A87:CX114">
    <cfRule type="containsErrors" dxfId="22" priority="11">
      <formula>ISERROR(A1)</formula>
    </cfRule>
  </conditionalFormatting>
  <conditionalFormatting sqref="CQ2:CR3 CT3 CS2:CU2 CQ115:CX1048576 CQ1:CX1 CZ1:DA1 CZ115:DA1048576">
    <cfRule type="containsErrors" dxfId="21" priority="10">
      <formula>ISERROR(CQ1)</formula>
    </cfRule>
  </conditionalFormatting>
  <conditionalFormatting sqref="DC2:DD3 DF3 DE2:DG2 DC115:DJ1048576 DC1:DJ1 DL1:DM1 DL115:DM1048576">
    <cfRule type="containsErrors" dxfId="20" priority="9">
      <formula>ISERROR(DC1)</formula>
    </cfRule>
  </conditionalFormatting>
  <conditionalFormatting sqref="DO2:DP3 DR3 DQ2:DS2 DO115:DV1048576 DO1:DV1 DX1:DY1 DX115:DY1048576">
    <cfRule type="containsErrors" dxfId="19" priority="8">
      <formula>ISERROR(DO1)</formula>
    </cfRule>
  </conditionalFormatting>
  <conditionalFormatting sqref="EA2:EB3 ED3 EC2:EE2 EA115:EH1048576 EA1:EH1 EJ1:EK1 EJ115:EK1048576">
    <cfRule type="containsErrors" dxfId="18" priority="7">
      <formula>ISERROR(EA1)</formula>
    </cfRule>
  </conditionalFormatting>
  <conditionalFormatting sqref="CY1:CY2 CY4:CY1048576">
    <cfRule type="containsErrors" dxfId="17" priority="6">
      <formula>ISERROR(CY1)</formula>
    </cfRule>
  </conditionalFormatting>
  <conditionalFormatting sqref="DK1:DK2 DK4:DK1048576">
    <cfRule type="containsErrors" dxfId="16" priority="5">
      <formula>ISERROR(DK1)</formula>
    </cfRule>
  </conditionalFormatting>
  <conditionalFormatting sqref="DW1:DW2 DW4:DW1048576">
    <cfRule type="containsErrors" dxfId="15" priority="4">
      <formula>ISERROR(DW1)</formula>
    </cfRule>
  </conditionalFormatting>
  <conditionalFormatting sqref="EI1:EI2 EI4:EI1048576">
    <cfRule type="containsErrors" dxfId="14" priority="3">
      <formula>ISERROR(EI1)</formula>
    </cfRule>
  </conditionalFormatting>
  <conditionalFormatting sqref="A4:A86">
    <cfRule type="containsErrors" dxfId="13" priority="1">
      <formula>ISERROR(A4)</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34998626667073579"/>
  </sheetPr>
  <dimension ref="A1:AL219"/>
  <sheetViews>
    <sheetView zoomScale="70" zoomScaleNormal="70" workbookViewId="0">
      <selection activeCell="AF30" sqref="AF30"/>
    </sheetView>
  </sheetViews>
  <sheetFormatPr baseColWidth="10" defaultColWidth="11.453125" defaultRowHeight="14.5" x14ac:dyDescent="0.35"/>
  <cols>
    <col min="1" max="1" width="29.81640625" customWidth="1"/>
    <col min="2" max="2" width="27.81640625" customWidth="1"/>
    <col min="3" max="3" width="12" bestFit="1" customWidth="1"/>
    <col min="14" max="14" width="12" style="22" bestFit="1" customWidth="1"/>
    <col min="15" max="15" width="12" customWidth="1"/>
    <col min="16" max="18" width="17.1796875" style="18" customWidth="1"/>
    <col min="19" max="22" width="17.1796875" style="10" customWidth="1"/>
    <col min="23" max="24" width="17.1796875" style="18" customWidth="1"/>
    <col min="25" max="25" width="17.1796875" style="17" customWidth="1"/>
    <col min="26" max="26" width="17.1796875" style="18" customWidth="1"/>
    <col min="27" max="27" width="21" style="18" customWidth="1"/>
    <col min="28" max="28" width="17.1796875" style="18" customWidth="1"/>
    <col min="29" max="29" width="17.1796875" style="22" customWidth="1"/>
    <col min="30" max="31" width="17.1796875" style="18" customWidth="1"/>
    <col min="32" max="37" width="17.1796875" customWidth="1"/>
    <col min="38" max="38" width="17.1796875" style="31" customWidth="1"/>
    <col min="41" max="41" width="17.453125" bestFit="1" customWidth="1"/>
  </cols>
  <sheetData>
    <row r="1" spans="1:38" s="39" customFormat="1" x14ac:dyDescent="0.35">
      <c r="P1" s="39" t="s">
        <v>93</v>
      </c>
      <c r="Q1" s="39" t="s">
        <v>93</v>
      </c>
      <c r="R1" s="39" t="s">
        <v>93</v>
      </c>
      <c r="S1" s="39" t="s">
        <v>93</v>
      </c>
      <c r="T1" s="39" t="s">
        <v>93</v>
      </c>
      <c r="Y1" s="99"/>
      <c r="Z1" s="82" t="s">
        <v>90</v>
      </c>
      <c r="AA1" s="82" t="s">
        <v>90</v>
      </c>
      <c r="AB1" s="82" t="s">
        <v>117</v>
      </c>
      <c r="AC1" s="82" t="s">
        <v>90</v>
      </c>
      <c r="AD1" s="82" t="s">
        <v>90</v>
      </c>
      <c r="AE1" s="82" t="s">
        <v>90</v>
      </c>
      <c r="AF1" s="82"/>
      <c r="AG1" s="82"/>
    </row>
    <row r="2" spans="1:38" x14ac:dyDescent="0.35">
      <c r="H2" s="26"/>
      <c r="N2" s="167"/>
      <c r="O2" s="161"/>
      <c r="P2" s="161" t="s">
        <v>94</v>
      </c>
      <c r="Q2" s="161" t="s">
        <v>95</v>
      </c>
      <c r="R2" s="45" t="s">
        <v>92</v>
      </c>
      <c r="S2" s="45" t="s">
        <v>96</v>
      </c>
      <c r="T2" s="45" t="s">
        <v>97</v>
      </c>
      <c r="Z2" s="1"/>
      <c r="AA2" s="161" t="s">
        <v>111</v>
      </c>
      <c r="AB2" s="161" t="s">
        <v>116</v>
      </c>
      <c r="AC2" s="45" t="s">
        <v>92</v>
      </c>
      <c r="AD2" s="45" t="s">
        <v>96</v>
      </c>
      <c r="AE2" s="45" t="s">
        <v>97</v>
      </c>
      <c r="AF2" s="45" t="s">
        <v>101</v>
      </c>
      <c r="AG2" s="1"/>
      <c r="AH2" s="31"/>
      <c r="AL2"/>
    </row>
    <row r="3" spans="1:38" x14ac:dyDescent="0.35">
      <c r="H3" s="9"/>
      <c r="N3" s="167"/>
      <c r="O3" s="44" t="s">
        <v>91</v>
      </c>
      <c r="P3" s="168" t="e">
        <f ca="1">(1/(B37+B38))*(LN((B18*B35/(B18*B35+B19))*(B33+B34+B37+B38)/(B37+B38)))</f>
        <v>#VALUE!</v>
      </c>
      <c r="Q3" s="25" t="e">
        <f ca="1">(1/(B36))*(LN((B18*B24/(B18*B24+B19*B24))*(B32+B36)/(B36)))</f>
        <v>#VALUE!</v>
      </c>
      <c r="R3" s="169">
        <v>5</v>
      </c>
      <c r="S3" s="169">
        <v>20</v>
      </c>
      <c r="T3" s="169">
        <v>100</v>
      </c>
      <c r="U3" s="3"/>
      <c r="V3" s="3"/>
      <c r="Z3" s="1"/>
      <c r="AA3" s="174" t="e">
        <f ca="1">P3+B50</f>
        <v>#VALUE!</v>
      </c>
      <c r="AB3" s="45">
        <f ca="1">IF(ISERROR(Q3),0,Q3)</f>
        <v>0</v>
      </c>
      <c r="AC3" s="169">
        <v>5</v>
      </c>
      <c r="AD3" s="169">
        <v>20</v>
      </c>
      <c r="AE3" s="169">
        <v>100</v>
      </c>
      <c r="AF3" s="37">
        <v>100000000000000</v>
      </c>
      <c r="AG3" s="1"/>
      <c r="AH3" s="31"/>
      <c r="AL3"/>
    </row>
    <row r="4" spans="1:38" ht="16.5" x14ac:dyDescent="0.45">
      <c r="H4" s="9"/>
      <c r="N4" s="167"/>
      <c r="O4" s="170" t="s">
        <v>555</v>
      </c>
      <c r="P4" s="45" t="e">
        <f ca="1">($B$18-$B$24*$B$18)*EXP(-($B$33+$B$34)*P3)</f>
        <v>#VALUE!</v>
      </c>
      <c r="Q4" s="45" t="e">
        <f ca="1">($B$18-$B$24*$B$18)*EXP(-($B$33+$B$34)*Q3)</f>
        <v>#VALUE!</v>
      </c>
      <c r="R4" s="45" t="e">
        <f ca="1">($B$18-$B$24*$B$18)*EXP(-($B$33+$B$34)*R3)</f>
        <v>#VALUE!</v>
      </c>
      <c r="S4" s="45" t="e">
        <f ca="1">($B$18-$B$24*$B$18)*EXP(-($B$33+$B$34)*S3)</f>
        <v>#VALUE!</v>
      </c>
      <c r="T4" s="45" t="e">
        <f ca="1">($B$18-$B$24*$B$18)*EXP(-($B$33+$B$34)*T3)</f>
        <v>#VALUE!</v>
      </c>
      <c r="Z4" s="44" t="s">
        <v>109</v>
      </c>
      <c r="AA4" s="45" t="e">
        <f t="shared" ref="AA4:AF4" ca="1" si="0">($B$20+$B$39*($B$19+$B$35*($B$18*(1-$B$24))*(1-EXP(-($B$33+$B$34)*AA3)))*(1-EXP(-($B$37+$B$38)*AA3)))</f>
        <v>#VALUE!</v>
      </c>
      <c r="AB4" s="45" t="e">
        <f t="shared" ca="1" si="0"/>
        <v>#VALUE!</v>
      </c>
      <c r="AC4" s="44" t="e">
        <f t="shared" ca="1" si="0"/>
        <v>#VALUE!</v>
      </c>
      <c r="AD4" s="45" t="e">
        <f t="shared" ca="1" si="0"/>
        <v>#VALUE!</v>
      </c>
      <c r="AE4" s="45" t="e">
        <f t="shared" ca="1" si="0"/>
        <v>#VALUE!</v>
      </c>
      <c r="AF4" s="45" t="e">
        <f t="shared" ca="1" si="0"/>
        <v>#VALUE!</v>
      </c>
      <c r="AG4" s="1"/>
      <c r="AH4" s="31"/>
      <c r="AL4"/>
    </row>
    <row r="5" spans="1:38" ht="16.5" x14ac:dyDescent="0.45">
      <c r="H5" s="9"/>
      <c r="N5" s="167"/>
      <c r="O5" s="170" t="s">
        <v>36</v>
      </c>
      <c r="P5" s="171" t="e">
        <f ca="1">($B$24*$B$18)*EXP(-($B$32)*P3)</f>
        <v>#VALUE!</v>
      </c>
      <c r="Q5" s="171" t="e">
        <f ca="1">($B$24*$B$18)*EXP(-($B$32)*Q3)</f>
        <v>#VALUE!</v>
      </c>
      <c r="R5" s="171" t="e">
        <f ca="1">($B$24*$B$18)*EXP(-($B$32)*R3)</f>
        <v>#VALUE!</v>
      </c>
      <c r="S5" s="171" t="e">
        <f ca="1">($B$24*$B$18)*EXP(-($B$32)*S3)</f>
        <v>#VALUE!</v>
      </c>
      <c r="T5" s="171" t="e">
        <f ca="1">($B$24*$B$18)*EXP(-($B$32)*T3)</f>
        <v>#VALUE!</v>
      </c>
      <c r="U5" s="36"/>
      <c r="V5" s="36"/>
      <c r="Y5" s="100"/>
      <c r="Z5" s="102" t="s">
        <v>638</v>
      </c>
      <c r="AA5" s="171" t="e">
        <f ca="1">(P13/1000000)*'1a. Spredningsmodell input'!$B$49*'1a. Spredningsmodell input'!$C$35</f>
        <v>#VALUE!</v>
      </c>
      <c r="AB5" s="171" t="e">
        <f ca="1">(Q13/1000000)*'1a. Spredningsmodell input'!$B$49*'1a. Spredningsmodell input'!$C$35</f>
        <v>#VALUE!</v>
      </c>
      <c r="AC5" s="171" t="e">
        <f ca="1">(R13/1000000)*'1a. Spredningsmodell input'!$B$49*'1a. Spredningsmodell input'!$C$35</f>
        <v>#VALUE!</v>
      </c>
      <c r="AD5" s="171" t="e">
        <f ca="1">(S13/1000000)*'1a. Spredningsmodell input'!$B$49*'1a. Spredningsmodell input'!$C$35</f>
        <v>#VALUE!</v>
      </c>
      <c r="AE5" s="171" t="e">
        <f ca="1">(T13/1000000)*'1a. Spredningsmodell input'!$B$49*'1a. Spredningsmodell input'!$C$35</f>
        <v>#VALUE!</v>
      </c>
      <c r="AF5" s="171">
        <f>(U13/1000000)*'1a. Spredningsmodell input'!$B$49*'1a. Spredningsmodell input'!$C$35</f>
        <v>0</v>
      </c>
      <c r="AG5" s="1"/>
      <c r="AH5" s="31"/>
      <c r="AL5"/>
    </row>
    <row r="6" spans="1:38" ht="16.5" x14ac:dyDescent="0.45">
      <c r="H6" s="9"/>
      <c r="N6" s="167"/>
      <c r="O6" s="167" t="s">
        <v>37</v>
      </c>
      <c r="P6" s="45" t="e">
        <f ca="1">($B$18-$B$24*$B$18-P4)*($B$33/($B$33+$B$34))</f>
        <v>#VALUE!</v>
      </c>
      <c r="Q6" s="45" t="e">
        <f ca="1">($B$18-$B$24*$B$18-Q4)*($B$33/($B$33+$B$34))</f>
        <v>#VALUE!</v>
      </c>
      <c r="R6" s="45" t="e">
        <f ca="1">($B$18-$B$24*$B$18-R4)*($B$33/($B$33+$B$34))</f>
        <v>#VALUE!</v>
      </c>
      <c r="S6" s="45" t="e">
        <f ca="1">($B$18-$B$24*$B$18-S4)*($B$33/($B$33+$B$34))</f>
        <v>#VALUE!</v>
      </c>
      <c r="T6" s="45" t="e">
        <f ca="1">($B$18-$B$24*$B$18-T4)*($B$33/($B$33+$B$34))</f>
        <v>#VALUE!</v>
      </c>
      <c r="Z6" s="1" t="s">
        <v>72</v>
      </c>
      <c r="AA6" s="44" t="e">
        <f t="shared" ref="AA6:AF6" ca="1" si="1">((($B$18*($B$24))*(1-EXP(-($B$32)*AA3)))*(1-EXP(-($B$36)*AA3)))</f>
        <v>#VALUE!</v>
      </c>
      <c r="AB6" s="44" t="e">
        <f t="shared" ca="1" si="1"/>
        <v>#VALUE!</v>
      </c>
      <c r="AC6" s="44" t="e">
        <f t="shared" ca="1" si="1"/>
        <v>#VALUE!</v>
      </c>
      <c r="AD6" s="44" t="e">
        <f t="shared" ca="1" si="1"/>
        <v>#VALUE!</v>
      </c>
      <c r="AE6" s="44" t="e">
        <f t="shared" ca="1" si="1"/>
        <v>#VALUE!</v>
      </c>
      <c r="AF6" s="44" t="e">
        <f t="shared" ca="1" si="1"/>
        <v>#VALUE!</v>
      </c>
      <c r="AG6" s="1"/>
      <c r="AH6" s="31"/>
      <c r="AL6"/>
    </row>
    <row r="7" spans="1:38" ht="16.5" x14ac:dyDescent="0.45">
      <c r="H7" s="80"/>
      <c r="N7" s="167"/>
      <c r="O7" s="170" t="s">
        <v>38</v>
      </c>
      <c r="P7" s="44" t="e">
        <f ca="1">($B$24*$B$18)-P5</f>
        <v>#VALUE!</v>
      </c>
      <c r="Q7" s="44" t="e">
        <f ca="1">($B$24*$B$18)-Q5</f>
        <v>#VALUE!</v>
      </c>
      <c r="R7" s="44" t="e">
        <f ca="1">($B$24*$B$18)-R5</f>
        <v>#VALUE!</v>
      </c>
      <c r="S7" s="44" t="e">
        <f ca="1">($B$24*$B$18)-S5</f>
        <v>#VALUE!</v>
      </c>
      <c r="T7" s="44" t="e">
        <f ca="1">($B$24*$B$18)-T5</f>
        <v>#VALUE!</v>
      </c>
      <c r="U7" s="18"/>
      <c r="V7" s="18"/>
      <c r="Z7" s="102" t="s">
        <v>634</v>
      </c>
      <c r="AA7" s="44" t="e">
        <f ca="1">(P14/1000000)*('1a. Spredningsmodell input'!$B$49)*'1a. Spredningsmodell input'!$C$35</f>
        <v>#VALUE!</v>
      </c>
      <c r="AB7" s="44" t="e">
        <f ca="1">(Q14/1000000)*('1a. Spredningsmodell input'!$B$49)*'1a. Spredningsmodell input'!$C$35</f>
        <v>#VALUE!</v>
      </c>
      <c r="AC7" s="44" t="e">
        <f ca="1">(R14/1000000)*('1a. Spredningsmodell input'!$B$49)*'1a. Spredningsmodell input'!$C$35</f>
        <v>#VALUE!</v>
      </c>
      <c r="AD7" s="44" t="e">
        <f ca="1">(S14/1000000)*('1a. Spredningsmodell input'!$B$49)*'1a. Spredningsmodell input'!$C$35</f>
        <v>#VALUE!</v>
      </c>
      <c r="AE7" s="44" t="e">
        <f ca="1">(T14/1000000)*('1a. Spredningsmodell input'!$B$49)*'1a. Spredningsmodell input'!$C$35</f>
        <v>#VALUE!</v>
      </c>
      <c r="AF7" s="44">
        <f>(U14/1000000)*('1a. Spredningsmodell input'!$B$49)*'1a. Spredningsmodell input'!$C$35</f>
        <v>0</v>
      </c>
      <c r="AG7" s="1"/>
      <c r="AH7" s="31"/>
      <c r="AL7"/>
    </row>
    <row r="8" spans="1:38" ht="16.5" x14ac:dyDescent="0.45">
      <c r="H8" s="80"/>
      <c r="N8" s="167"/>
      <c r="O8" s="44" t="s">
        <v>558</v>
      </c>
      <c r="P8" s="45" t="e">
        <f ca="1">($B$19+P6)*EXP(-($B$37+$B$38)*P3)</f>
        <v>#VALUE!</v>
      </c>
      <c r="Q8" s="45" t="e">
        <f ca="1">($B$19+Q6)*EXP(-($B$37+$B$38)*Q3)</f>
        <v>#VALUE!</v>
      </c>
      <c r="R8" s="45" t="e">
        <f ca="1">($B$19+R6)*EXP(-($B$37+$B$38)*R3)</f>
        <v>#VALUE!</v>
      </c>
      <c r="S8" s="45" t="e">
        <f ca="1">($B$19+S6)*EXP(-($B$37+$B$38)*S3)</f>
        <v>#VALUE!</v>
      </c>
      <c r="T8" s="45" t="e">
        <f ca="1">($B$19+T6)*EXP(-($B$37+$B$38)*T3)</f>
        <v>#VALUE!</v>
      </c>
      <c r="Z8" s="1" t="s">
        <v>106</v>
      </c>
      <c r="AA8" s="37" t="e">
        <f t="shared" ref="AA8:AF8" ca="1" si="2">($B$20)*EXP(-($B$42+$B$41)*$G19)+AA5*EXP(-($B$42)*$B$50)</f>
        <v>#VALUE!</v>
      </c>
      <c r="AB8" s="37" t="e">
        <f t="shared" ca="1" si="2"/>
        <v>#VALUE!</v>
      </c>
      <c r="AC8" s="37" t="e">
        <f t="shared" ca="1" si="2"/>
        <v>#VALUE!</v>
      </c>
      <c r="AD8" s="37" t="e">
        <f t="shared" ca="1" si="2"/>
        <v>#VALUE!</v>
      </c>
      <c r="AE8" s="37" t="e">
        <f t="shared" ca="1" si="2"/>
        <v>#VALUE!</v>
      </c>
      <c r="AF8" s="37">
        <f t="shared" ca="1" si="2"/>
        <v>9.9999999999999995E-7</v>
      </c>
      <c r="AG8" s="1"/>
      <c r="AH8" s="31"/>
      <c r="AL8"/>
    </row>
    <row r="9" spans="1:38" ht="16.5" x14ac:dyDescent="0.45">
      <c r="H9" s="7"/>
      <c r="N9" s="167"/>
      <c r="O9" s="44" t="s">
        <v>70</v>
      </c>
      <c r="P9" s="44" t="e">
        <f ca="1">($B$24*$B$19+P7)*EXP(-($B$36)*P3)</f>
        <v>#VALUE!</v>
      </c>
      <c r="Q9" s="44" t="e">
        <f ca="1">($B$24*$B$19+Q7)*EXP(-($B$36)*Q3)</f>
        <v>#VALUE!</v>
      </c>
      <c r="R9" s="44" t="e">
        <f ca="1">($B$24*$B$19+R7)*EXP(-($B$36)*R3)</f>
        <v>#VALUE!</v>
      </c>
      <c r="S9" s="44" t="e">
        <f ca="1">($B$24*$B$19+S7)*EXP(-($B$36)*S3)</f>
        <v>#VALUE!</v>
      </c>
      <c r="T9" s="44" t="e">
        <f ca="1">($B$24*$B$19+T7)*EXP(-($B$36)*T3)</f>
        <v>#VALUE!</v>
      </c>
      <c r="U9" s="18"/>
      <c r="V9" s="18"/>
      <c r="Z9" s="1" t="s">
        <v>73</v>
      </c>
      <c r="AA9" s="37" t="e">
        <f t="shared" ref="AA9:AF9" ca="1" si="3">AA7+($B$24*$B$20)*EXP(-($B$40)*$G19)</f>
        <v>#VALUE!</v>
      </c>
      <c r="AB9" s="37" t="e">
        <f t="shared" ca="1" si="3"/>
        <v>#VALUE!</v>
      </c>
      <c r="AC9" s="37" t="e">
        <f t="shared" ca="1" si="3"/>
        <v>#VALUE!</v>
      </c>
      <c r="AD9" s="37" t="e">
        <f t="shared" ca="1" si="3"/>
        <v>#VALUE!</v>
      </c>
      <c r="AE9" s="37" t="e">
        <f t="shared" ca="1" si="3"/>
        <v>#VALUE!</v>
      </c>
      <c r="AF9" s="37">
        <f t="shared" ca="1" si="3"/>
        <v>4.9999999999999998E-8</v>
      </c>
      <c r="AG9" s="1"/>
      <c r="AH9" s="31"/>
      <c r="AL9"/>
    </row>
    <row r="10" spans="1:38" ht="16.5" x14ac:dyDescent="0.45">
      <c r="H10" s="7" t="s">
        <v>640</v>
      </c>
      <c r="I10">
        <f ca="1">COLUMN(INDIRECT(H10&amp;1))</f>
        <v>8</v>
      </c>
      <c r="N10" s="167"/>
      <c r="O10" s="170" t="s">
        <v>54</v>
      </c>
      <c r="P10" s="172" t="e">
        <f ca="1">((P8+P9)*1000000000)/($B$22*1000)</f>
        <v>#VALUE!</v>
      </c>
      <c r="Q10" s="172" t="e">
        <f ca="1">((Q8+Q9)*1000000000)/($B$22*1000)</f>
        <v>#VALUE!</v>
      </c>
      <c r="R10" s="172" t="e">
        <f ca="1">((R8+R9)*1000000000)/($B$22*1000)</f>
        <v>#VALUE!</v>
      </c>
      <c r="S10" s="172" t="e">
        <f ca="1">((S8+S9)*1000000000)/($B$22*1000)</f>
        <v>#VALUE!</v>
      </c>
      <c r="T10" s="172" t="e">
        <f ca="1">((T8+T9)*1000000000)/($B$22*1000)</f>
        <v>#VALUE!</v>
      </c>
      <c r="U10" s="19"/>
      <c r="V10" s="19"/>
      <c r="Z10" s="37" t="s">
        <v>42</v>
      </c>
      <c r="AA10" s="37" t="e">
        <f t="shared" ref="AA10:AF10" ca="1" si="4">(AA8+AA9)*1000000000/($B$23*1000)</f>
        <v>#VALUE!</v>
      </c>
      <c r="AB10" s="37" t="e">
        <f t="shared" ca="1" si="4"/>
        <v>#VALUE!</v>
      </c>
      <c r="AC10" s="37" t="e">
        <f t="shared" ca="1" si="4"/>
        <v>#VALUE!</v>
      </c>
      <c r="AD10" s="37" t="e">
        <f t="shared" ca="1" si="4"/>
        <v>#VALUE!</v>
      </c>
      <c r="AE10" s="37" t="e">
        <f t="shared" ca="1" si="4"/>
        <v>#VALUE!</v>
      </c>
      <c r="AF10" s="37">
        <f t="shared" ca="1" si="4"/>
        <v>2.1E-7</v>
      </c>
      <c r="AG10" s="1"/>
      <c r="AH10" s="31"/>
      <c r="AL10"/>
    </row>
    <row r="11" spans="1:38" ht="16.5" x14ac:dyDescent="0.45">
      <c r="A11" t="s">
        <v>639</v>
      </c>
      <c r="B11">
        <f>'Figur-output'!D1</f>
        <v>4</v>
      </c>
      <c r="H11" s="7"/>
      <c r="N11" s="167"/>
      <c r="O11" s="173" t="s">
        <v>55</v>
      </c>
      <c r="P11" s="45" t="e">
        <f ca="1">0.001*P10/($B$30+1/$B$29)</f>
        <v>#VALUE!</v>
      </c>
      <c r="Q11" s="45" t="e">
        <f ca="1">0.001*Q10/($B$30+1/$B$29)</f>
        <v>#VALUE!</v>
      </c>
      <c r="R11" s="45" t="e">
        <f ca="1">0.001*R10/($B$30+1/$B$29)</f>
        <v>#VALUE!</v>
      </c>
      <c r="S11" s="45" t="e">
        <f ca="1">0.001*S10/($B$30+1/$B$29)</f>
        <v>#VALUE!</v>
      </c>
      <c r="T11" s="45" t="e">
        <f ca="1">0.001*T10/($B$30+1/$B$29)</f>
        <v>#VALUE!</v>
      </c>
      <c r="Z11" s="1" t="s">
        <v>119</v>
      </c>
      <c r="AA11" s="37" t="e">
        <f ca="1">IF(ISERROR(MAXA(AA10:AB10)),AA10,MAXA(AA10:AB10))</f>
        <v>#VALUE!</v>
      </c>
      <c r="AB11" s="1"/>
      <c r="AC11" s="1"/>
      <c r="AD11" s="172"/>
      <c r="AE11" s="172"/>
      <c r="AF11" s="172"/>
      <c r="AG11" s="1"/>
      <c r="AH11" s="31"/>
      <c r="AL11"/>
    </row>
    <row r="12" spans="1:38" ht="16.5" x14ac:dyDescent="0.45">
      <c r="N12" s="167"/>
      <c r="O12" s="173" t="s">
        <v>56</v>
      </c>
      <c r="P12" s="45" t="e">
        <f ca="1">1000*P11/$B$29+P9*1000000000/($B$22*1000)</f>
        <v>#VALUE!</v>
      </c>
      <c r="Q12" s="45" t="e">
        <f ca="1">1000*Q11/$B$29+Q9*1000000000/($B$22*1000)</f>
        <v>#VALUE!</v>
      </c>
      <c r="R12" s="45" t="e">
        <f ca="1">1000*R11/$B$29+R9*1000000000/($B$22*1000)</f>
        <v>#VALUE!</v>
      </c>
      <c r="S12" s="45" t="e">
        <f ca="1">1000*S11/$B$29+S9*1000000000/($B$22*1000)</f>
        <v>#VALUE!</v>
      </c>
      <c r="T12" s="45" t="e">
        <f ca="1">1000*T11/$B$29+T9*1000000000/($B$22*1000)</f>
        <v>#VALUE!</v>
      </c>
      <c r="Z12" s="37" t="s">
        <v>118</v>
      </c>
      <c r="AA12" s="32" t="e">
        <f ca="1">IF(AA11=AA10,AA3,AB3)</f>
        <v>#VALUE!</v>
      </c>
      <c r="AB12" s="1"/>
      <c r="AC12" s="1"/>
      <c r="AD12" s="172"/>
      <c r="AE12" s="172"/>
      <c r="AF12" s="172"/>
      <c r="AG12" s="1"/>
      <c r="AH12" s="31"/>
      <c r="AL12"/>
    </row>
    <row r="13" spans="1:38" ht="16.5" x14ac:dyDescent="0.45">
      <c r="N13" s="167"/>
      <c r="O13" s="173" t="s">
        <v>636</v>
      </c>
      <c r="P13" s="45" t="e">
        <f ca="1">1000*P11/$B$29</f>
        <v>#VALUE!</v>
      </c>
      <c r="Q13" s="45" t="e">
        <f ca="1">1000*Q11/$B$29</f>
        <v>#VALUE!</v>
      </c>
      <c r="R13" s="45" t="e">
        <f ca="1">1000*R11/$B$29</f>
        <v>#VALUE!</v>
      </c>
      <c r="S13" s="45" t="e">
        <f ca="1">1000*S11/$B$29</f>
        <v>#VALUE!</v>
      </c>
      <c r="T13" s="45" t="e">
        <f ca="1">1000*T11/$B$29</f>
        <v>#VALUE!</v>
      </c>
      <c r="Z13" s="44"/>
      <c r="AA13" s="44"/>
      <c r="AB13" s="44"/>
      <c r="AC13" s="167"/>
      <c r="AD13" s="44"/>
      <c r="AE13" s="44"/>
      <c r="AF13" s="1"/>
      <c r="AG13" s="1"/>
    </row>
    <row r="14" spans="1:38" ht="16.5" x14ac:dyDescent="0.45">
      <c r="B14" t="s">
        <v>10</v>
      </c>
      <c r="N14" s="167"/>
      <c r="O14" s="173" t="s">
        <v>637</v>
      </c>
      <c r="P14" s="44" t="e">
        <f ca="1">P9*1000000000/($B$22*1000)</f>
        <v>#VALUE!</v>
      </c>
      <c r="Q14" s="44" t="e">
        <f ca="1">Q9*1000000000/($B$22*1000)</f>
        <v>#VALUE!</v>
      </c>
      <c r="R14" s="44" t="e">
        <f ca="1">R9*1000000000/($B$22*1000)</f>
        <v>#VALUE!</v>
      </c>
      <c r="S14" s="44" t="e">
        <f ca="1">S9*1000000000/($B$22*1000)</f>
        <v>#VALUE!</v>
      </c>
      <c r="T14" s="44" t="e">
        <f ca="1">T9*1000000000/($B$22*1000)</f>
        <v>#VALUE!</v>
      </c>
      <c r="W14" s="10"/>
      <c r="Z14" s="44" t="s">
        <v>751</v>
      </c>
      <c r="AA14" s="44"/>
      <c r="AB14" s="44"/>
      <c r="AC14" s="167"/>
      <c r="AD14" s="44"/>
      <c r="AE14" s="44"/>
      <c r="AF14" s="1"/>
      <c r="AG14" s="1"/>
    </row>
    <row r="15" spans="1:38" x14ac:dyDescent="0.35">
      <c r="V15" s="10" t="s">
        <v>750</v>
      </c>
      <c r="W15" s="18" t="s">
        <v>108</v>
      </c>
      <c r="X15" s="31"/>
      <c r="Z15" s="31"/>
      <c r="AA15" s="31"/>
      <c r="AB15" s="31"/>
      <c r="AC15"/>
      <c r="AD15" s="40"/>
      <c r="AE15"/>
      <c r="AF15" s="19"/>
      <c r="AG15" s="19"/>
      <c r="AH15" s="19"/>
      <c r="AI15" s="19"/>
      <c r="AJ15" s="19"/>
      <c r="AL15"/>
    </row>
    <row r="16" spans="1:38" x14ac:dyDescent="0.35">
      <c r="W16" s="18" t="s">
        <v>110</v>
      </c>
      <c r="X16" s="31"/>
      <c r="Z16" s="31"/>
      <c r="AA16" s="31"/>
      <c r="AB16" s="31"/>
      <c r="AC16"/>
      <c r="AD16" s="40"/>
      <c r="AE16"/>
      <c r="AF16" s="19"/>
      <c r="AG16" s="19"/>
      <c r="AH16" s="19"/>
      <c r="AI16" s="19"/>
      <c r="AJ16" s="19"/>
      <c r="AL16"/>
    </row>
    <row r="17" spans="1:38" ht="52.5" customHeight="1" x14ac:dyDescent="0.45">
      <c r="G17" t="s">
        <v>0</v>
      </c>
      <c r="H17" t="s">
        <v>80</v>
      </c>
      <c r="I17" s="15" t="s">
        <v>71</v>
      </c>
      <c r="J17" s="15" t="s">
        <v>36</v>
      </c>
      <c r="K17" s="15" t="s">
        <v>41</v>
      </c>
      <c r="L17" s="15" t="s">
        <v>39</v>
      </c>
      <c r="M17" s="15" t="s">
        <v>40</v>
      </c>
      <c r="N17" s="22" t="s">
        <v>37</v>
      </c>
      <c r="O17" s="15" t="s">
        <v>38</v>
      </c>
      <c r="P17" s="18" t="s">
        <v>105</v>
      </c>
      <c r="Q17" s="18" t="s">
        <v>70</v>
      </c>
      <c r="R17" s="15" t="s">
        <v>54</v>
      </c>
      <c r="S17" s="20" t="s">
        <v>55</v>
      </c>
      <c r="T17" s="20" t="s">
        <v>56</v>
      </c>
      <c r="U17" s="173" t="s">
        <v>636</v>
      </c>
      <c r="V17" s="173" t="s">
        <v>637</v>
      </c>
      <c r="W17" s="44" t="s">
        <v>109</v>
      </c>
      <c r="X17" s="1" t="s">
        <v>72</v>
      </c>
      <c r="Y17" s="102" t="s">
        <v>638</v>
      </c>
      <c r="Z17" s="102" t="s">
        <v>634</v>
      </c>
      <c r="AA17" s="1" t="s">
        <v>106</v>
      </c>
      <c r="AB17" s="1" t="s">
        <v>73</v>
      </c>
      <c r="AC17" s="37" t="s">
        <v>42</v>
      </c>
      <c r="AD17"/>
      <c r="AE17" s="44"/>
      <c r="AF17" s="1"/>
      <c r="AL17"/>
    </row>
    <row r="18" spans="1:38" ht="16.5" x14ac:dyDescent="0.45">
      <c r="A18" t="s">
        <v>13</v>
      </c>
      <c r="B18" s="2" t="str">
        <f ca="1">INDIRECT(ADDRESS($B$11,4,,,"Mellomregninger"))</f>
        <v/>
      </c>
      <c r="C18" t="s">
        <v>22</v>
      </c>
      <c r="E18" s="2"/>
      <c r="F18" s="2"/>
      <c r="I18" s="16" t="s">
        <v>26</v>
      </c>
      <c r="J18" s="16" t="s">
        <v>26</v>
      </c>
      <c r="K18" s="16" t="s">
        <v>27</v>
      </c>
      <c r="L18" s="16" t="s">
        <v>76</v>
      </c>
      <c r="M18" s="16" t="s">
        <v>27</v>
      </c>
      <c r="N18" s="33" t="s">
        <v>26</v>
      </c>
      <c r="O18" s="16" t="s">
        <v>26</v>
      </c>
      <c r="P18" s="16" t="s">
        <v>26</v>
      </c>
      <c r="Q18" s="16" t="s">
        <v>26</v>
      </c>
      <c r="R18" s="16" t="s">
        <v>27</v>
      </c>
      <c r="S18" s="21" t="s">
        <v>76</v>
      </c>
      <c r="T18" s="21" t="s">
        <v>27</v>
      </c>
      <c r="U18" s="175" t="s">
        <v>27</v>
      </c>
      <c r="V18" s="175" t="s">
        <v>27</v>
      </c>
      <c r="W18" s="176" t="s">
        <v>26</v>
      </c>
      <c r="X18" s="177" t="s">
        <v>26</v>
      </c>
      <c r="Y18" s="178" t="s">
        <v>26</v>
      </c>
      <c r="Z18" s="177" t="s">
        <v>26</v>
      </c>
      <c r="AA18" s="177" t="s">
        <v>26</v>
      </c>
      <c r="AB18" s="177" t="s">
        <v>26</v>
      </c>
      <c r="AC18" s="179" t="s">
        <v>27</v>
      </c>
      <c r="AD18"/>
      <c r="AE18"/>
      <c r="AL18"/>
    </row>
    <row r="19" spans="1:38" ht="16.5" x14ac:dyDescent="0.45">
      <c r="A19" t="s">
        <v>14</v>
      </c>
      <c r="B19" s="10" t="e">
        <f ca="1">IF(INDIRECT(ADDRESS($B$11,15,,,"Mellomregninger"))=0,0.000001,INDIRECT(ADDRESS($B$11,15,,,"Mellomregninger")))</f>
        <v>#VALUE!</v>
      </c>
      <c r="C19" t="s">
        <v>22</v>
      </c>
      <c r="D19" s="10" t="e">
        <f ca="1">L19*$B$21*1000*$B$30/1000000</f>
        <v>#VALUE!</v>
      </c>
      <c r="E19" s="10" t="e">
        <f ca="1">(M19/1000000000)*B21*1000*B28</f>
        <v>#VALUE!</v>
      </c>
      <c r="F19" s="10" t="e">
        <f ca="1">D19+E19+J19</f>
        <v>#VALUE!</v>
      </c>
      <c r="G19">
        <v>0</v>
      </c>
      <c r="H19">
        <f>'1a. Spredningsmodell input'!$I$2+G19</f>
        <v>0</v>
      </c>
      <c r="I19" t="e">
        <f t="shared" ref="I19:I82" ca="1" si="5">($B$18-$B$24*$B$18)*EXP(-($B$33+$B$34)*$G19)</f>
        <v>#VALUE!</v>
      </c>
      <c r="J19" t="e">
        <f t="shared" ref="J19:J82" ca="1" si="6">($B$24*$B$18)*EXP(-($B$32)*$G19)</f>
        <v>#VALUE!</v>
      </c>
      <c r="K19" t="e">
        <f ca="1">(($I19+$J19)*1000000000)/($B$21*1000)</f>
        <v>#VALUE!</v>
      </c>
      <c r="L19" s="1" t="e">
        <f ca="1">0.001*K19/($B$27+$B$28/$B$26)</f>
        <v>#VALUE!</v>
      </c>
      <c r="M19" t="e">
        <f t="shared" ref="M19:M82" ca="1" si="7">1000*L19/$B$26</f>
        <v>#VALUE!</v>
      </c>
      <c r="N19" s="22" t="e">
        <f ca="1">($B$18-$B$24*$B$18-I19)*($B$33/($B$33+$B$34))</f>
        <v>#VALUE!</v>
      </c>
      <c r="O19" t="e">
        <f ca="1">($B$24*$B$18)-J19</f>
        <v>#VALUE!</v>
      </c>
      <c r="P19" s="18" t="e">
        <f ca="1">($B$19+N19)*EXP(-($B$37+$B$38)*$G19)</f>
        <v>#VALUE!</v>
      </c>
      <c r="Q19" s="18" t="e">
        <f ca="1">($B$24*$B$19+O19)*EXP(-($B$36)*$G19)</f>
        <v>#VALUE!</v>
      </c>
      <c r="R19" s="19" t="e">
        <f ca="1">(($P19+$Q19)*1000000000)/($B$22*1000)</f>
        <v>#VALUE!</v>
      </c>
      <c r="S19" s="10" t="e">
        <f ca="1">0.001*R19/($B$30+1/$B$29)</f>
        <v>#VALUE!</v>
      </c>
      <c r="T19" s="10" t="e">
        <f ca="1">1000*S19/$B$29+Q19*1000000000/($B$22*1000)</f>
        <v>#VALUE!</v>
      </c>
      <c r="U19" s="45" t="e">
        <f ca="1">1000*S19/$B$29</f>
        <v>#VALUE!</v>
      </c>
      <c r="V19" s="180" t="e">
        <f ca="1">Q19*1000000000/($B$22*'1a. Spredningsmodell input'!$C$26*1000)</f>
        <v>#VALUE!</v>
      </c>
      <c r="W19" s="44" t="e">
        <f t="shared" ref="W19:W82" ca="1" si="8">($B$20+$B$39*($B$19+$B$35*($B$18*(1-$B$24))*(1-EXP(-($B$33+$B$34)*G19)))*(1-EXP(-($B$37+$B$38)*G19)))</f>
        <v>#VALUE!</v>
      </c>
      <c r="X19" s="167" t="e">
        <f t="shared" ref="X19:X82" ca="1" si="9">((($B$18*($B$24))*(1-EXP(-($B$32)*G19)))*(1-EXP(-($B$36)*G19)))</f>
        <v>#VALUE!</v>
      </c>
      <c r="Y19" s="102" t="e">
        <f ca="1">(U19/1000000)*('1a. Spredningsmodell input'!$B$49)*'1a. Spredningsmodell input'!$C$35</f>
        <v>#VALUE!</v>
      </c>
      <c r="Z19" s="37" t="e">
        <f ca="1">(V19/1000000)*('1a. Spredningsmodell input'!$B$49)*'1a. Spredningsmodell input'!$C$35</f>
        <v>#VALUE!</v>
      </c>
      <c r="AA19" s="37" t="e">
        <f t="shared" ref="AA19:AA82" ca="1" si="10">($B$20)*EXP(-($B$42+$B$41)*$G19)+Y19*EXP(-($B$42)*$B$50)</f>
        <v>#VALUE!</v>
      </c>
      <c r="AB19" s="1" t="e">
        <f ca="1">Z19+($B$24*$B$20)*EXP(-($B$40)*$G19)</f>
        <v>#VALUE!</v>
      </c>
      <c r="AC19" s="37" t="e">
        <f ca="1">(AA19+AB19)*1000000000/($B$23*1000)</f>
        <v>#VALUE!</v>
      </c>
      <c r="AD19"/>
      <c r="AL19"/>
    </row>
    <row r="20" spans="1:38" ht="16.5" x14ac:dyDescent="0.45">
      <c r="A20" t="s">
        <v>18</v>
      </c>
      <c r="B20" s="10">
        <f ca="1">IF(INDIRECT(ADDRESS($B$11,19,,,"Mellomregninger"))=0,0.000001,INDIRECT(ADDRESS($B$11,19,,,"Mellomregninger")))</f>
        <v>9.9999999999999995E-7</v>
      </c>
      <c r="C20" t="s">
        <v>22</v>
      </c>
      <c r="D20" s="10"/>
      <c r="E20" s="10"/>
      <c r="F20" s="10"/>
      <c r="G20">
        <v>5</v>
      </c>
      <c r="H20">
        <f>'1a. Spredningsmodell input'!$I$2+G20</f>
        <v>5</v>
      </c>
      <c r="I20" t="e">
        <f t="shared" ca="1" si="5"/>
        <v>#VALUE!</v>
      </c>
      <c r="J20" t="e">
        <f t="shared" ca="1" si="6"/>
        <v>#VALUE!</v>
      </c>
      <c r="K20" t="e">
        <f t="shared" ref="K20:K82" ca="1" si="11">(($I20+$J20)*1000000000)/($B$21*1000)</f>
        <v>#VALUE!</v>
      </c>
      <c r="L20" t="e">
        <f t="shared" ref="L20:L83" ca="1" si="12">0.001*K20/($B$27+$B$28/$B$26)</f>
        <v>#VALUE!</v>
      </c>
      <c r="M20" t="e">
        <f t="shared" ca="1" si="7"/>
        <v>#VALUE!</v>
      </c>
      <c r="N20" s="22" t="e">
        <f t="shared" ref="N20:N82" ca="1" si="13">($B$18-$B$24*$B$18-I20)*($B$33/($B$33+$B$34))</f>
        <v>#VALUE!</v>
      </c>
      <c r="O20" s="18" t="e">
        <f t="shared" ref="O20:O82" ca="1" si="14">($B$24*$B$18)-J20</f>
        <v>#VALUE!</v>
      </c>
      <c r="P20" s="18" t="e">
        <f t="shared" ref="P20:P82" ca="1" si="15">($B$19+N20)*EXP(-($B$37+$B$38)*$G20)</f>
        <v>#VALUE!</v>
      </c>
      <c r="Q20" s="18" t="e">
        <f ca="1">($B$24*$B$19+O20)*EXP(-($B$36)*$G20)</f>
        <v>#VALUE!</v>
      </c>
      <c r="R20" s="19" t="e">
        <f t="shared" ref="R20:R82" ca="1" si="16">(($P20+$Q20)*1000000000)/($B$22*1000)</f>
        <v>#VALUE!</v>
      </c>
      <c r="S20" s="10" t="e">
        <f t="shared" ref="S20:S82" ca="1" si="17">0.001*R20/($B$30+1/$B$29)</f>
        <v>#VALUE!</v>
      </c>
      <c r="T20" s="10" t="e">
        <f t="shared" ref="T20:T82" ca="1" si="18">1000*S20/$B$29+Q20*1000000000/($B$22*1000)</f>
        <v>#VALUE!</v>
      </c>
      <c r="U20" s="45" t="e">
        <f t="shared" ref="U20:U82" ca="1" si="19">1000*S20/$B$29</f>
        <v>#VALUE!</v>
      </c>
      <c r="V20" s="180" t="e">
        <f ca="1">Q20*1000000000/($B$22*'1a. Spredningsmodell input'!$C$26*1000)</f>
        <v>#VALUE!</v>
      </c>
      <c r="W20" s="44" t="e">
        <f t="shared" ca="1" si="8"/>
        <v>#VALUE!</v>
      </c>
      <c r="X20" s="167" t="e">
        <f t="shared" ca="1" si="9"/>
        <v>#VALUE!</v>
      </c>
      <c r="Y20" s="102" t="e">
        <f ca="1">(U20/1000000)*('1a. Spredningsmodell input'!$B$49)*'1a. Spredningsmodell input'!$C$35</f>
        <v>#VALUE!</v>
      </c>
      <c r="Z20" s="37" t="e">
        <f ca="1">(V20/1000000)*('1a. Spredningsmodell input'!$B$49)*'1a. Spredningsmodell input'!$C$35</f>
        <v>#VALUE!</v>
      </c>
      <c r="AA20" s="37" t="e">
        <f t="shared" ca="1" si="10"/>
        <v>#VALUE!</v>
      </c>
      <c r="AB20" s="1" t="e">
        <f t="shared" ref="AB20:AB82" ca="1" si="20">Z20+($B$24*$B$20)*EXP(-($B$40)*$G20)</f>
        <v>#VALUE!</v>
      </c>
      <c r="AC20" s="37" t="e">
        <f t="shared" ref="AC20:AC82" ca="1" si="21">(AA20+AB20)*1000000000/($B$23*1000)</f>
        <v>#VALUE!</v>
      </c>
      <c r="AD20"/>
      <c r="AL20"/>
    </row>
    <row r="21" spans="1:38" ht="16.5" x14ac:dyDescent="0.45">
      <c r="A21" t="s">
        <v>23</v>
      </c>
      <c r="B21">
        <f>'1a. Spredningsmodell input'!C18*'1a. Spredningsmodell input'!B41</f>
        <v>10000</v>
      </c>
      <c r="C21" t="s">
        <v>11</v>
      </c>
      <c r="G21">
        <v>10</v>
      </c>
      <c r="H21">
        <f>'1a. Spredningsmodell input'!$I$2+G21</f>
        <v>10</v>
      </c>
      <c r="I21" t="e">
        <f t="shared" ca="1" si="5"/>
        <v>#VALUE!</v>
      </c>
      <c r="J21" t="e">
        <f t="shared" ca="1" si="6"/>
        <v>#VALUE!</v>
      </c>
      <c r="K21" t="e">
        <f t="shared" ca="1" si="11"/>
        <v>#VALUE!</v>
      </c>
      <c r="L21" t="e">
        <f t="shared" ca="1" si="12"/>
        <v>#VALUE!</v>
      </c>
      <c r="M21" t="e">
        <f t="shared" ca="1" si="7"/>
        <v>#VALUE!</v>
      </c>
      <c r="N21" s="22" t="e">
        <f ca="1">($B$18-$B$24*$B$18-I21)*($B$33/($B$33+$B$34))</f>
        <v>#VALUE!</v>
      </c>
      <c r="O21" t="e">
        <f ca="1">($B$24*$B$18)-J21</f>
        <v>#VALUE!</v>
      </c>
      <c r="P21" s="18" t="e">
        <f t="shared" ca="1" si="15"/>
        <v>#VALUE!</v>
      </c>
      <c r="Q21" s="18" t="e">
        <f t="shared" ref="Q21:Q82" ca="1" si="22">($B$24*$B$19+O21)*EXP(-($B$36)*$G21)</f>
        <v>#VALUE!</v>
      </c>
      <c r="R21" s="19" t="e">
        <f t="shared" ca="1" si="16"/>
        <v>#VALUE!</v>
      </c>
      <c r="S21" s="10" t="e">
        <f t="shared" ca="1" si="17"/>
        <v>#VALUE!</v>
      </c>
      <c r="T21" s="10" t="e">
        <f t="shared" ca="1" si="18"/>
        <v>#VALUE!</v>
      </c>
      <c r="U21" s="45" t="e">
        <f t="shared" ca="1" si="19"/>
        <v>#VALUE!</v>
      </c>
      <c r="V21" s="180" t="e">
        <f ca="1">Q21*1000000000/($B$22*'1a. Spredningsmodell input'!$C$26*1000)</f>
        <v>#VALUE!</v>
      </c>
      <c r="W21" s="44" t="e">
        <f t="shared" ca="1" si="8"/>
        <v>#VALUE!</v>
      </c>
      <c r="X21" s="167" t="e">
        <f t="shared" ca="1" si="9"/>
        <v>#VALUE!</v>
      </c>
      <c r="Y21" s="102" t="e">
        <f ca="1">(U21/1000000)*('1a. Spredningsmodell input'!$B$49)*'1a. Spredningsmodell input'!$C$35</f>
        <v>#VALUE!</v>
      </c>
      <c r="Z21" s="37" t="e">
        <f ca="1">(V21/1000000)*('1a. Spredningsmodell input'!$B$49)*'1a. Spredningsmodell input'!$C$35</f>
        <v>#VALUE!</v>
      </c>
      <c r="AA21" s="37" t="e">
        <f t="shared" ca="1" si="10"/>
        <v>#VALUE!</v>
      </c>
      <c r="AB21" s="1" t="e">
        <f t="shared" ca="1" si="20"/>
        <v>#VALUE!</v>
      </c>
      <c r="AC21" s="37" t="e">
        <f t="shared" ca="1" si="21"/>
        <v>#VALUE!</v>
      </c>
      <c r="AD21"/>
      <c r="AL21"/>
    </row>
    <row r="22" spans="1:38" ht="16.5" x14ac:dyDescent="0.45">
      <c r="A22" t="s">
        <v>25</v>
      </c>
      <c r="B22" s="3">
        <f>'1a. Spredningsmodell input'!B45</f>
        <v>12500</v>
      </c>
      <c r="C22" t="s">
        <v>11</v>
      </c>
      <c r="D22" s="3"/>
      <c r="E22" s="3"/>
      <c r="F22" s="3"/>
      <c r="G22">
        <v>15</v>
      </c>
      <c r="H22">
        <f>'1a. Spredningsmodell input'!$I$2+G22</f>
        <v>15</v>
      </c>
      <c r="I22" t="e">
        <f t="shared" ca="1" si="5"/>
        <v>#VALUE!</v>
      </c>
      <c r="J22" t="e">
        <f t="shared" ca="1" si="6"/>
        <v>#VALUE!</v>
      </c>
      <c r="K22" t="e">
        <f t="shared" ca="1" si="11"/>
        <v>#VALUE!</v>
      </c>
      <c r="L22" t="e">
        <f t="shared" ca="1" si="12"/>
        <v>#VALUE!</v>
      </c>
      <c r="M22" t="e">
        <f t="shared" ca="1" si="7"/>
        <v>#VALUE!</v>
      </c>
      <c r="N22" s="22" t="e">
        <f t="shared" ca="1" si="13"/>
        <v>#VALUE!</v>
      </c>
      <c r="O22" t="e">
        <f t="shared" ca="1" si="14"/>
        <v>#VALUE!</v>
      </c>
      <c r="P22" s="18" t="e">
        <f t="shared" ca="1" si="15"/>
        <v>#VALUE!</v>
      </c>
      <c r="Q22" s="18" t="e">
        <f t="shared" ca="1" si="22"/>
        <v>#VALUE!</v>
      </c>
      <c r="R22" s="19" t="e">
        <f t="shared" ca="1" si="16"/>
        <v>#VALUE!</v>
      </c>
      <c r="S22" s="10" t="e">
        <f t="shared" ca="1" si="17"/>
        <v>#VALUE!</v>
      </c>
      <c r="T22" s="10" t="e">
        <f t="shared" ca="1" si="18"/>
        <v>#VALUE!</v>
      </c>
      <c r="U22" s="45" t="e">
        <f t="shared" ca="1" si="19"/>
        <v>#VALUE!</v>
      </c>
      <c r="V22" s="180" t="e">
        <f ca="1">Q22*1000000000/($B$22*'1a. Spredningsmodell input'!$C$26*1000)</f>
        <v>#VALUE!</v>
      </c>
      <c r="W22" s="44" t="e">
        <f t="shared" ca="1" si="8"/>
        <v>#VALUE!</v>
      </c>
      <c r="X22" s="167" t="e">
        <f t="shared" ca="1" si="9"/>
        <v>#VALUE!</v>
      </c>
      <c r="Y22" s="102" t="e">
        <f ca="1">(U22/1000000)*('1a. Spredningsmodell input'!$B$49)*'1a. Spredningsmodell input'!$C$35</f>
        <v>#VALUE!</v>
      </c>
      <c r="Z22" s="37" t="e">
        <f ca="1">(V22/1000000)*('1a. Spredningsmodell input'!$B$49)*'1a. Spredningsmodell input'!$C$35</f>
        <v>#VALUE!</v>
      </c>
      <c r="AA22" s="37" t="e">
        <f t="shared" ca="1" si="10"/>
        <v>#VALUE!</v>
      </c>
      <c r="AB22" s="1" t="e">
        <f t="shared" ca="1" si="20"/>
        <v>#VALUE!</v>
      </c>
      <c r="AC22" s="37" t="e">
        <f t="shared" ca="1" si="21"/>
        <v>#VALUE!</v>
      </c>
      <c r="AD22"/>
      <c r="AL22"/>
    </row>
    <row r="23" spans="1:38" ht="16.5" x14ac:dyDescent="0.45">
      <c r="A23" t="s">
        <v>24</v>
      </c>
      <c r="B23" s="3">
        <f>'1a. Spredningsmodell input'!C36</f>
        <v>5000000</v>
      </c>
      <c r="C23" t="s">
        <v>11</v>
      </c>
      <c r="D23" s="3"/>
      <c r="E23" s="3"/>
      <c r="F23" s="3"/>
      <c r="G23">
        <v>20</v>
      </c>
      <c r="H23">
        <f>'1a. Spredningsmodell input'!$I$2+G23</f>
        <v>20</v>
      </c>
      <c r="I23" t="e">
        <f t="shared" ca="1" si="5"/>
        <v>#VALUE!</v>
      </c>
      <c r="J23" t="e">
        <f t="shared" ca="1" si="6"/>
        <v>#VALUE!</v>
      </c>
      <c r="K23" t="e">
        <f t="shared" ca="1" si="11"/>
        <v>#VALUE!</v>
      </c>
      <c r="L23" t="e">
        <f t="shared" ca="1" si="12"/>
        <v>#VALUE!</v>
      </c>
      <c r="M23" t="e">
        <f t="shared" ca="1" si="7"/>
        <v>#VALUE!</v>
      </c>
      <c r="N23" s="22" t="e">
        <f t="shared" ca="1" si="13"/>
        <v>#VALUE!</v>
      </c>
      <c r="O23" t="e">
        <f t="shared" ca="1" si="14"/>
        <v>#VALUE!</v>
      </c>
      <c r="P23" s="18" t="e">
        <f t="shared" ca="1" si="15"/>
        <v>#VALUE!</v>
      </c>
      <c r="Q23" s="18" t="e">
        <f t="shared" ca="1" si="22"/>
        <v>#VALUE!</v>
      </c>
      <c r="R23" s="19" t="e">
        <f t="shared" ca="1" si="16"/>
        <v>#VALUE!</v>
      </c>
      <c r="S23" s="10" t="e">
        <f t="shared" ca="1" si="17"/>
        <v>#VALUE!</v>
      </c>
      <c r="T23" s="10" t="e">
        <f t="shared" ca="1" si="18"/>
        <v>#VALUE!</v>
      </c>
      <c r="U23" s="45" t="e">
        <f t="shared" ca="1" si="19"/>
        <v>#VALUE!</v>
      </c>
      <c r="V23" s="180" t="e">
        <f ca="1">Q23*1000000000/($B$22*'1a. Spredningsmodell input'!$C$26*1000)</f>
        <v>#VALUE!</v>
      </c>
      <c r="W23" s="44" t="e">
        <f t="shared" ca="1" si="8"/>
        <v>#VALUE!</v>
      </c>
      <c r="X23" s="167" t="e">
        <f t="shared" ca="1" si="9"/>
        <v>#VALUE!</v>
      </c>
      <c r="Y23" s="102" t="e">
        <f ca="1">(U23/1000000)*('1a. Spredningsmodell input'!$B$49)*'1a. Spredningsmodell input'!$C$35</f>
        <v>#VALUE!</v>
      </c>
      <c r="Z23" s="37" t="e">
        <f ca="1">(V23/1000000)*('1a. Spredningsmodell input'!$B$49)*'1a. Spredningsmodell input'!$C$35</f>
        <v>#VALUE!</v>
      </c>
      <c r="AA23" s="37" t="e">
        <f t="shared" ca="1" si="10"/>
        <v>#VALUE!</v>
      </c>
      <c r="AB23" s="1" t="e">
        <f t="shared" ca="1" si="20"/>
        <v>#VALUE!</v>
      </c>
      <c r="AC23" s="37" t="e">
        <f t="shared" ca="1" si="21"/>
        <v>#VALUE!</v>
      </c>
      <c r="AD23"/>
      <c r="AL23"/>
    </row>
    <row r="24" spans="1:38" ht="16.5" x14ac:dyDescent="0.45">
      <c r="A24" t="s">
        <v>35</v>
      </c>
      <c r="B24">
        <f ca="1">INDIRECT(ADDRESS($B$11,16,,,"Stoff"))</f>
        <v>0.05</v>
      </c>
      <c r="C24" t="s">
        <v>3</v>
      </c>
      <c r="G24">
        <v>25</v>
      </c>
      <c r="H24">
        <f>'1a. Spredningsmodell input'!$I$2+G24</f>
        <v>25</v>
      </c>
      <c r="I24" t="e">
        <f t="shared" ca="1" si="5"/>
        <v>#VALUE!</v>
      </c>
      <c r="J24" t="e">
        <f t="shared" ca="1" si="6"/>
        <v>#VALUE!</v>
      </c>
      <c r="K24" t="e">
        <f t="shared" ca="1" si="11"/>
        <v>#VALUE!</v>
      </c>
      <c r="L24" t="e">
        <f t="shared" ca="1" si="12"/>
        <v>#VALUE!</v>
      </c>
      <c r="M24" t="e">
        <f t="shared" ca="1" si="7"/>
        <v>#VALUE!</v>
      </c>
      <c r="N24" s="22" t="e">
        <f t="shared" ca="1" si="13"/>
        <v>#VALUE!</v>
      </c>
      <c r="O24" t="e">
        <f t="shared" ca="1" si="14"/>
        <v>#VALUE!</v>
      </c>
      <c r="P24" s="18" t="e">
        <f t="shared" ca="1" si="15"/>
        <v>#VALUE!</v>
      </c>
      <c r="Q24" s="18" t="e">
        <f t="shared" ca="1" si="22"/>
        <v>#VALUE!</v>
      </c>
      <c r="R24" s="19" t="e">
        <f t="shared" ca="1" si="16"/>
        <v>#VALUE!</v>
      </c>
      <c r="S24" s="10" t="e">
        <f t="shared" ca="1" si="17"/>
        <v>#VALUE!</v>
      </c>
      <c r="T24" s="10" t="e">
        <f t="shared" ca="1" si="18"/>
        <v>#VALUE!</v>
      </c>
      <c r="U24" s="45" t="e">
        <f t="shared" ca="1" si="19"/>
        <v>#VALUE!</v>
      </c>
      <c r="V24" s="180" t="e">
        <f ca="1">Q24*1000000000/($B$22*'1a. Spredningsmodell input'!$C$26*1000)</f>
        <v>#VALUE!</v>
      </c>
      <c r="W24" s="44" t="e">
        <f t="shared" ca="1" si="8"/>
        <v>#VALUE!</v>
      </c>
      <c r="X24" s="167" t="e">
        <f t="shared" ca="1" si="9"/>
        <v>#VALUE!</v>
      </c>
      <c r="Y24" s="102" t="e">
        <f ca="1">(U24/1000000)*('1a. Spredningsmodell input'!$B$49)*'1a. Spredningsmodell input'!$C$35</f>
        <v>#VALUE!</v>
      </c>
      <c r="Z24" s="37" t="e">
        <f ca="1">(V24/1000000)*('1a. Spredningsmodell input'!$B$49)*'1a. Spredningsmodell input'!$C$35</f>
        <v>#VALUE!</v>
      </c>
      <c r="AA24" s="37" t="e">
        <f t="shared" ca="1" si="10"/>
        <v>#VALUE!</v>
      </c>
      <c r="AB24" s="1" t="e">
        <f t="shared" ca="1" si="20"/>
        <v>#VALUE!</v>
      </c>
      <c r="AC24" s="37" t="e">
        <f t="shared" ca="1" si="21"/>
        <v>#VALUE!</v>
      </c>
      <c r="AD24"/>
      <c r="AL24"/>
    </row>
    <row r="25" spans="1:38" x14ac:dyDescent="0.35">
      <c r="G25">
        <v>30</v>
      </c>
      <c r="H25">
        <f>'1a. Spredningsmodell input'!$I$2+G25</f>
        <v>30</v>
      </c>
      <c r="I25" t="e">
        <f t="shared" ca="1" si="5"/>
        <v>#VALUE!</v>
      </c>
      <c r="J25" t="e">
        <f t="shared" ca="1" si="6"/>
        <v>#VALUE!</v>
      </c>
      <c r="K25" t="e">
        <f t="shared" ca="1" si="11"/>
        <v>#VALUE!</v>
      </c>
      <c r="L25" t="e">
        <f t="shared" ca="1" si="12"/>
        <v>#VALUE!</v>
      </c>
      <c r="M25" t="e">
        <f t="shared" ca="1" si="7"/>
        <v>#VALUE!</v>
      </c>
      <c r="N25" s="22" t="e">
        <f t="shared" ca="1" si="13"/>
        <v>#VALUE!</v>
      </c>
      <c r="O25" t="e">
        <f t="shared" ca="1" si="14"/>
        <v>#VALUE!</v>
      </c>
      <c r="P25" s="18" t="e">
        <f t="shared" ca="1" si="15"/>
        <v>#VALUE!</v>
      </c>
      <c r="Q25" s="18" t="e">
        <f t="shared" ca="1" si="22"/>
        <v>#VALUE!</v>
      </c>
      <c r="R25" s="19" t="e">
        <f t="shared" ca="1" si="16"/>
        <v>#VALUE!</v>
      </c>
      <c r="S25" s="10" t="e">
        <f t="shared" ca="1" si="17"/>
        <v>#VALUE!</v>
      </c>
      <c r="T25" s="10" t="e">
        <f t="shared" ca="1" si="18"/>
        <v>#VALUE!</v>
      </c>
      <c r="U25" s="45" t="e">
        <f t="shared" ca="1" si="19"/>
        <v>#VALUE!</v>
      </c>
      <c r="V25" s="180" t="e">
        <f ca="1">Q25*1000000000/($B$22*'1a. Spredningsmodell input'!$C$26*1000)</f>
        <v>#VALUE!</v>
      </c>
      <c r="W25" s="44" t="e">
        <f t="shared" ca="1" si="8"/>
        <v>#VALUE!</v>
      </c>
      <c r="X25" s="167" t="e">
        <f t="shared" ca="1" si="9"/>
        <v>#VALUE!</v>
      </c>
      <c r="Y25" s="102" t="e">
        <f ca="1">(U25/1000000)*('1a. Spredningsmodell input'!$B$49)*'1a. Spredningsmodell input'!$C$35</f>
        <v>#VALUE!</v>
      </c>
      <c r="Z25" s="37" t="e">
        <f ca="1">(V25/1000000)*('1a. Spredningsmodell input'!$B$49)*'1a. Spredningsmodell input'!$C$35</f>
        <v>#VALUE!</v>
      </c>
      <c r="AA25" s="37" t="e">
        <f t="shared" ca="1" si="10"/>
        <v>#VALUE!</v>
      </c>
      <c r="AB25" s="1" t="e">
        <f t="shared" ca="1" si="20"/>
        <v>#VALUE!</v>
      </c>
      <c r="AC25" s="37" t="e">
        <f t="shared" ca="1" si="21"/>
        <v>#VALUE!</v>
      </c>
      <c r="AD25"/>
      <c r="AL25"/>
    </row>
    <row r="26" spans="1:38" ht="16.5" x14ac:dyDescent="0.45">
      <c r="A26" t="s">
        <v>31</v>
      </c>
      <c r="B26">
        <f ca="1">INDIRECT(ADDRESS($B$11,3,,,"Mellomregninger"))</f>
        <v>6607</v>
      </c>
      <c r="C26" t="s">
        <v>1</v>
      </c>
      <c r="G26">
        <v>35</v>
      </c>
      <c r="H26">
        <f>'1a. Spredningsmodell input'!$I$2+G26</f>
        <v>35</v>
      </c>
      <c r="I26" t="e">
        <f t="shared" ca="1" si="5"/>
        <v>#VALUE!</v>
      </c>
      <c r="J26" t="e">
        <f t="shared" ca="1" si="6"/>
        <v>#VALUE!</v>
      </c>
      <c r="K26" t="e">
        <f t="shared" ca="1" si="11"/>
        <v>#VALUE!</v>
      </c>
      <c r="L26" t="e">
        <f t="shared" ca="1" si="12"/>
        <v>#VALUE!</v>
      </c>
      <c r="M26" t="e">
        <f t="shared" ca="1" si="7"/>
        <v>#VALUE!</v>
      </c>
      <c r="N26" s="22" t="e">
        <f t="shared" ca="1" si="13"/>
        <v>#VALUE!</v>
      </c>
      <c r="O26" t="e">
        <f t="shared" ca="1" si="14"/>
        <v>#VALUE!</v>
      </c>
      <c r="P26" s="18" t="e">
        <f t="shared" ca="1" si="15"/>
        <v>#VALUE!</v>
      </c>
      <c r="Q26" s="18" t="e">
        <f t="shared" ca="1" si="22"/>
        <v>#VALUE!</v>
      </c>
      <c r="R26" s="19" t="e">
        <f t="shared" ca="1" si="16"/>
        <v>#VALUE!</v>
      </c>
      <c r="S26" s="10" t="e">
        <f t="shared" ca="1" si="17"/>
        <v>#VALUE!</v>
      </c>
      <c r="T26" s="10" t="e">
        <f t="shared" ca="1" si="18"/>
        <v>#VALUE!</v>
      </c>
      <c r="U26" s="45" t="e">
        <f t="shared" ca="1" si="19"/>
        <v>#VALUE!</v>
      </c>
      <c r="V26" s="180" t="e">
        <f ca="1">Q26*1000000000/($B$22*'1a. Spredningsmodell input'!$C$26*1000)</f>
        <v>#VALUE!</v>
      </c>
      <c r="W26" s="44" t="e">
        <f t="shared" ca="1" si="8"/>
        <v>#VALUE!</v>
      </c>
      <c r="X26" s="167" t="e">
        <f t="shared" ca="1" si="9"/>
        <v>#VALUE!</v>
      </c>
      <c r="Y26" s="102" t="e">
        <f ca="1">(U26/1000000)*('1a. Spredningsmodell input'!$B$49)*'1a. Spredningsmodell input'!$C$35</f>
        <v>#VALUE!</v>
      </c>
      <c r="Z26" s="37" t="e">
        <f ca="1">(V26/1000000)*('1a. Spredningsmodell input'!$B$49)*'1a. Spredningsmodell input'!$C$35</f>
        <v>#VALUE!</v>
      </c>
      <c r="AA26" s="37" t="e">
        <f t="shared" ca="1" si="10"/>
        <v>#VALUE!</v>
      </c>
      <c r="AB26" s="1" t="e">
        <f t="shared" ca="1" si="20"/>
        <v>#VALUE!</v>
      </c>
      <c r="AC26" s="37" t="e">
        <f t="shared" ca="1" si="21"/>
        <v>#VALUE!</v>
      </c>
      <c r="AD26"/>
      <c r="AL26"/>
    </row>
    <row r="27" spans="1:38" x14ac:dyDescent="0.35">
      <c r="A27" t="s">
        <v>29</v>
      </c>
      <c r="B27">
        <f>'1a. Spredningsmodell input'!C12</f>
        <v>1.7</v>
      </c>
      <c r="C27" t="s">
        <v>2</v>
      </c>
      <c r="G27">
        <v>40</v>
      </c>
      <c r="H27">
        <f>'1a. Spredningsmodell input'!$I$2+G27</f>
        <v>40</v>
      </c>
      <c r="I27" t="e">
        <f t="shared" ca="1" si="5"/>
        <v>#VALUE!</v>
      </c>
      <c r="J27" t="e">
        <f t="shared" ca="1" si="6"/>
        <v>#VALUE!</v>
      </c>
      <c r="K27" t="e">
        <f t="shared" ca="1" si="11"/>
        <v>#VALUE!</v>
      </c>
      <c r="L27" t="e">
        <f t="shared" ca="1" si="12"/>
        <v>#VALUE!</v>
      </c>
      <c r="M27" t="e">
        <f t="shared" ca="1" si="7"/>
        <v>#VALUE!</v>
      </c>
      <c r="N27" s="22" t="e">
        <f t="shared" ca="1" si="13"/>
        <v>#VALUE!</v>
      </c>
      <c r="O27" t="e">
        <f t="shared" ca="1" si="14"/>
        <v>#VALUE!</v>
      </c>
      <c r="P27" s="18" t="e">
        <f ca="1">($B$19+N27)*EXP(-($B$37+$B$38)*$G27)</f>
        <v>#VALUE!</v>
      </c>
      <c r="Q27" s="18" t="e">
        <f t="shared" ca="1" si="22"/>
        <v>#VALUE!</v>
      </c>
      <c r="R27" s="19" t="e">
        <f t="shared" ca="1" si="16"/>
        <v>#VALUE!</v>
      </c>
      <c r="S27" s="10" t="e">
        <f t="shared" ca="1" si="17"/>
        <v>#VALUE!</v>
      </c>
      <c r="T27" s="10" t="e">
        <f t="shared" ca="1" si="18"/>
        <v>#VALUE!</v>
      </c>
      <c r="U27" s="45" t="e">
        <f t="shared" ca="1" si="19"/>
        <v>#VALUE!</v>
      </c>
      <c r="V27" s="180" t="e">
        <f ca="1">Q27*1000000000/($B$22*'1a. Spredningsmodell input'!$C$26*1000)</f>
        <v>#VALUE!</v>
      </c>
      <c r="W27" s="44" t="e">
        <f t="shared" ca="1" si="8"/>
        <v>#VALUE!</v>
      </c>
      <c r="X27" s="167" t="e">
        <f t="shared" ca="1" si="9"/>
        <v>#VALUE!</v>
      </c>
      <c r="Y27" s="102" t="e">
        <f ca="1">(U27/1000000)*('1a. Spredningsmodell input'!$B$49)*'1a. Spredningsmodell input'!$C$35</f>
        <v>#VALUE!</v>
      </c>
      <c r="Z27" s="37" t="e">
        <f ca="1">(V27/1000000)*('1a. Spredningsmodell input'!$B$49)*'1a. Spredningsmodell input'!$C$35</f>
        <v>#VALUE!</v>
      </c>
      <c r="AA27" s="37" t="e">
        <f t="shared" ca="1" si="10"/>
        <v>#VALUE!</v>
      </c>
      <c r="AB27" s="1" t="e">
        <f t="shared" ca="1" si="20"/>
        <v>#VALUE!</v>
      </c>
      <c r="AC27" s="37" t="e">
        <f t="shared" ca="1" si="21"/>
        <v>#VALUE!</v>
      </c>
      <c r="AD27"/>
      <c r="AL27"/>
    </row>
    <row r="28" spans="1:38" x14ac:dyDescent="0.35">
      <c r="A28" t="s">
        <v>84</v>
      </c>
      <c r="B28">
        <f>'1a. Spredningsmodell input'!C14</f>
        <v>0.2</v>
      </c>
      <c r="C28" t="s">
        <v>3</v>
      </c>
      <c r="G28">
        <v>45</v>
      </c>
      <c r="H28">
        <f>'1a. Spredningsmodell input'!$I$2+G28</f>
        <v>45</v>
      </c>
      <c r="I28" t="e">
        <f t="shared" ca="1" si="5"/>
        <v>#VALUE!</v>
      </c>
      <c r="J28" t="e">
        <f t="shared" ca="1" si="6"/>
        <v>#VALUE!</v>
      </c>
      <c r="K28" t="e">
        <f t="shared" ca="1" si="11"/>
        <v>#VALUE!</v>
      </c>
      <c r="L28" t="e">
        <f t="shared" ca="1" si="12"/>
        <v>#VALUE!</v>
      </c>
      <c r="M28" t="e">
        <f t="shared" ca="1" si="7"/>
        <v>#VALUE!</v>
      </c>
      <c r="N28" s="22" t="e">
        <f t="shared" ca="1" si="13"/>
        <v>#VALUE!</v>
      </c>
      <c r="O28" t="e">
        <f t="shared" ca="1" si="14"/>
        <v>#VALUE!</v>
      </c>
      <c r="P28" s="18" t="e">
        <f t="shared" ca="1" si="15"/>
        <v>#VALUE!</v>
      </c>
      <c r="Q28" s="18" t="e">
        <f t="shared" ca="1" si="22"/>
        <v>#VALUE!</v>
      </c>
      <c r="R28" s="19" t="e">
        <f t="shared" ca="1" si="16"/>
        <v>#VALUE!</v>
      </c>
      <c r="S28" s="10" t="e">
        <f t="shared" ca="1" si="17"/>
        <v>#VALUE!</v>
      </c>
      <c r="T28" s="10" t="e">
        <f t="shared" ca="1" si="18"/>
        <v>#VALUE!</v>
      </c>
      <c r="U28" s="45" t="e">
        <f t="shared" ca="1" si="19"/>
        <v>#VALUE!</v>
      </c>
      <c r="V28" s="180" t="e">
        <f ca="1">Q28*1000000000/($B$22*'1a. Spredningsmodell input'!$C$26*1000)</f>
        <v>#VALUE!</v>
      </c>
      <c r="W28" s="44" t="e">
        <f t="shared" ca="1" si="8"/>
        <v>#VALUE!</v>
      </c>
      <c r="X28" s="167" t="e">
        <f t="shared" ca="1" si="9"/>
        <v>#VALUE!</v>
      </c>
      <c r="Y28" s="102" t="e">
        <f ca="1">(U28/1000000)*('1a. Spredningsmodell input'!$B$49)*'1a. Spredningsmodell input'!$C$35</f>
        <v>#VALUE!</v>
      </c>
      <c r="Z28" s="37" t="e">
        <f ca="1">(V28/1000000)*('1a. Spredningsmodell input'!$B$49)*'1a. Spredningsmodell input'!$C$35</f>
        <v>#VALUE!</v>
      </c>
      <c r="AA28" s="37" t="e">
        <f t="shared" ca="1" si="10"/>
        <v>#VALUE!</v>
      </c>
      <c r="AB28" s="1" t="e">
        <f t="shared" ca="1" si="20"/>
        <v>#VALUE!</v>
      </c>
      <c r="AC28" s="37" t="e">
        <f t="shared" ca="1" si="21"/>
        <v>#VALUE!</v>
      </c>
      <c r="AD28"/>
      <c r="AL28"/>
    </row>
    <row r="29" spans="1:38" ht="16.5" x14ac:dyDescent="0.45">
      <c r="A29" t="s">
        <v>28</v>
      </c>
      <c r="B29">
        <f ca="1">INDIRECT(ADDRESS($B$11,11,,,"Mellomregninger"))</f>
        <v>6607</v>
      </c>
      <c r="C29" t="s">
        <v>1</v>
      </c>
      <c r="G29">
        <v>50</v>
      </c>
      <c r="H29">
        <f>'1a. Spredningsmodell input'!$I$2+G29</f>
        <v>50</v>
      </c>
      <c r="I29" t="e">
        <f t="shared" ca="1" si="5"/>
        <v>#VALUE!</v>
      </c>
      <c r="J29" t="e">
        <f t="shared" ca="1" si="6"/>
        <v>#VALUE!</v>
      </c>
      <c r="K29" t="e">
        <f t="shared" ca="1" si="11"/>
        <v>#VALUE!</v>
      </c>
      <c r="L29" t="e">
        <f t="shared" ca="1" si="12"/>
        <v>#VALUE!</v>
      </c>
      <c r="M29" t="e">
        <f t="shared" ca="1" si="7"/>
        <v>#VALUE!</v>
      </c>
      <c r="N29" s="22" t="e">
        <f t="shared" ca="1" si="13"/>
        <v>#VALUE!</v>
      </c>
      <c r="O29" t="e">
        <f t="shared" ca="1" si="14"/>
        <v>#VALUE!</v>
      </c>
      <c r="P29" s="18" t="e">
        <f t="shared" ca="1" si="15"/>
        <v>#VALUE!</v>
      </c>
      <c r="Q29" s="18" t="e">
        <f t="shared" ca="1" si="22"/>
        <v>#VALUE!</v>
      </c>
      <c r="R29" s="19" t="e">
        <f t="shared" ca="1" si="16"/>
        <v>#VALUE!</v>
      </c>
      <c r="S29" s="10" t="e">
        <f t="shared" ca="1" si="17"/>
        <v>#VALUE!</v>
      </c>
      <c r="T29" s="10" t="e">
        <f t="shared" ca="1" si="18"/>
        <v>#VALUE!</v>
      </c>
      <c r="U29" s="45" t="e">
        <f t="shared" ca="1" si="19"/>
        <v>#VALUE!</v>
      </c>
      <c r="V29" s="180" t="e">
        <f ca="1">Q29*1000000000/($B$22*'1a. Spredningsmodell input'!$C$26*1000)</f>
        <v>#VALUE!</v>
      </c>
      <c r="W29" s="44" t="e">
        <f t="shared" ca="1" si="8"/>
        <v>#VALUE!</v>
      </c>
      <c r="X29" s="167" t="e">
        <f t="shared" ca="1" si="9"/>
        <v>#VALUE!</v>
      </c>
      <c r="Y29" s="102" t="e">
        <f ca="1">(U29/1000000)*('1a. Spredningsmodell input'!$B$49)*'1a. Spredningsmodell input'!$C$35</f>
        <v>#VALUE!</v>
      </c>
      <c r="Z29" s="37" t="e">
        <f ca="1">(V29/1000000)*('1a. Spredningsmodell input'!$B$49)*'1a. Spredningsmodell input'!$C$35</f>
        <v>#VALUE!</v>
      </c>
      <c r="AA29" s="37" t="e">
        <f t="shared" ca="1" si="10"/>
        <v>#VALUE!</v>
      </c>
      <c r="AB29" s="1" t="e">
        <f t="shared" ca="1" si="20"/>
        <v>#VALUE!</v>
      </c>
      <c r="AC29" s="37" t="e">
        <f t="shared" ca="1" si="21"/>
        <v>#VALUE!</v>
      </c>
      <c r="AD29"/>
      <c r="AL29"/>
    </row>
    <row r="30" spans="1:38" x14ac:dyDescent="0.35">
      <c r="A30" t="s">
        <v>30</v>
      </c>
      <c r="B30">
        <f>'1a. Spredningsmodell input'!C25</f>
        <v>1.7</v>
      </c>
      <c r="C30" t="s">
        <v>2</v>
      </c>
      <c r="G30">
        <v>55</v>
      </c>
      <c r="H30">
        <f>'1a. Spredningsmodell input'!$I$2+G30</f>
        <v>55</v>
      </c>
      <c r="I30" t="e">
        <f t="shared" ca="1" si="5"/>
        <v>#VALUE!</v>
      </c>
      <c r="J30" t="e">
        <f t="shared" ca="1" si="6"/>
        <v>#VALUE!</v>
      </c>
      <c r="K30" t="e">
        <f t="shared" ca="1" si="11"/>
        <v>#VALUE!</v>
      </c>
      <c r="L30" t="e">
        <f t="shared" ca="1" si="12"/>
        <v>#VALUE!</v>
      </c>
      <c r="M30" t="e">
        <f t="shared" ca="1" si="7"/>
        <v>#VALUE!</v>
      </c>
      <c r="N30" s="22" t="e">
        <f t="shared" ca="1" si="13"/>
        <v>#VALUE!</v>
      </c>
      <c r="O30" t="e">
        <f t="shared" ca="1" si="14"/>
        <v>#VALUE!</v>
      </c>
      <c r="P30" s="18" t="e">
        <f t="shared" ca="1" si="15"/>
        <v>#VALUE!</v>
      </c>
      <c r="Q30" s="18" t="e">
        <f t="shared" ca="1" si="22"/>
        <v>#VALUE!</v>
      </c>
      <c r="R30" s="19" t="e">
        <f t="shared" ca="1" si="16"/>
        <v>#VALUE!</v>
      </c>
      <c r="S30" s="10" t="e">
        <f t="shared" ca="1" si="17"/>
        <v>#VALUE!</v>
      </c>
      <c r="T30" s="10" t="e">
        <f t="shared" ca="1" si="18"/>
        <v>#VALUE!</v>
      </c>
      <c r="U30" s="45" t="e">
        <f t="shared" ca="1" si="19"/>
        <v>#VALUE!</v>
      </c>
      <c r="V30" s="180" t="e">
        <f ca="1">Q30*1000000000/($B$22*'1a. Spredningsmodell input'!$C$26*1000)</f>
        <v>#VALUE!</v>
      </c>
      <c r="W30" s="44" t="e">
        <f t="shared" ca="1" si="8"/>
        <v>#VALUE!</v>
      </c>
      <c r="X30" s="167" t="e">
        <f t="shared" ca="1" si="9"/>
        <v>#VALUE!</v>
      </c>
      <c r="Y30" s="102" t="e">
        <f ca="1">(U30/1000000)*('1a. Spredningsmodell input'!$B$49)*'1a. Spredningsmodell input'!$C$35</f>
        <v>#VALUE!</v>
      </c>
      <c r="Z30" s="37" t="e">
        <f ca="1">(V30/1000000)*('1a. Spredningsmodell input'!$B$49)*'1a. Spredningsmodell input'!$C$35</f>
        <v>#VALUE!</v>
      </c>
      <c r="AA30" s="37" t="e">
        <f t="shared" ca="1" si="10"/>
        <v>#VALUE!</v>
      </c>
      <c r="AB30" s="1" t="e">
        <f t="shared" ca="1" si="20"/>
        <v>#VALUE!</v>
      </c>
      <c r="AC30" s="37" t="e">
        <f t="shared" ca="1" si="21"/>
        <v>#VALUE!</v>
      </c>
      <c r="AD30"/>
      <c r="AL30"/>
    </row>
    <row r="31" spans="1:38" x14ac:dyDescent="0.35">
      <c r="G31">
        <v>60</v>
      </c>
      <c r="H31">
        <f>'1a. Spredningsmodell input'!$I$2+G31</f>
        <v>60</v>
      </c>
      <c r="I31" t="e">
        <f t="shared" ca="1" si="5"/>
        <v>#VALUE!</v>
      </c>
      <c r="J31" t="e">
        <f t="shared" ca="1" si="6"/>
        <v>#VALUE!</v>
      </c>
      <c r="K31" t="e">
        <f t="shared" ca="1" si="11"/>
        <v>#VALUE!</v>
      </c>
      <c r="L31" t="e">
        <f t="shared" ca="1" si="12"/>
        <v>#VALUE!</v>
      </c>
      <c r="M31" t="e">
        <f t="shared" ca="1" si="7"/>
        <v>#VALUE!</v>
      </c>
      <c r="N31" s="22" t="e">
        <f t="shared" ca="1" si="13"/>
        <v>#VALUE!</v>
      </c>
      <c r="O31" t="e">
        <f t="shared" ca="1" si="14"/>
        <v>#VALUE!</v>
      </c>
      <c r="P31" s="18" t="e">
        <f t="shared" ca="1" si="15"/>
        <v>#VALUE!</v>
      </c>
      <c r="Q31" s="18" t="e">
        <f t="shared" ca="1" si="22"/>
        <v>#VALUE!</v>
      </c>
      <c r="R31" s="19" t="e">
        <f t="shared" ca="1" si="16"/>
        <v>#VALUE!</v>
      </c>
      <c r="S31" s="10" t="e">
        <f t="shared" ca="1" si="17"/>
        <v>#VALUE!</v>
      </c>
      <c r="T31" s="18" t="e">
        <f t="shared" ca="1" si="18"/>
        <v>#VALUE!</v>
      </c>
      <c r="U31" s="45" t="e">
        <f t="shared" ca="1" si="19"/>
        <v>#VALUE!</v>
      </c>
      <c r="V31" s="180" t="e">
        <f ca="1">Q31*1000000000/($B$22*'1a. Spredningsmodell input'!$C$26*1000)</f>
        <v>#VALUE!</v>
      </c>
      <c r="W31" s="44" t="e">
        <f t="shared" ca="1" si="8"/>
        <v>#VALUE!</v>
      </c>
      <c r="X31" s="167" t="e">
        <f t="shared" ca="1" si="9"/>
        <v>#VALUE!</v>
      </c>
      <c r="Y31" s="102" t="e">
        <f ca="1">(U31/1000000)*('1a. Spredningsmodell input'!$B$49)*'1a. Spredningsmodell input'!$C$35</f>
        <v>#VALUE!</v>
      </c>
      <c r="Z31" s="37" t="e">
        <f ca="1">(V31/1000000)*('1a. Spredningsmodell input'!$B$49)*'1a. Spredningsmodell input'!$C$35</f>
        <v>#VALUE!</v>
      </c>
      <c r="AA31" s="37" t="e">
        <f t="shared" ca="1" si="10"/>
        <v>#VALUE!</v>
      </c>
      <c r="AB31" s="1" t="e">
        <f t="shared" ca="1" si="20"/>
        <v>#VALUE!</v>
      </c>
      <c r="AC31" s="37" t="e">
        <f t="shared" ca="1" si="21"/>
        <v>#VALUE!</v>
      </c>
      <c r="AD31"/>
      <c r="AF31" s="18"/>
      <c r="AG31" s="44"/>
      <c r="AH31" s="44"/>
      <c r="AI31" s="44"/>
      <c r="AL31"/>
    </row>
    <row r="32" spans="1:38" ht="16.5" x14ac:dyDescent="0.45">
      <c r="A32" t="s">
        <v>32</v>
      </c>
      <c r="B32" s="2">
        <f>'1a. Spredningsmodell input'!B43</f>
        <v>1.4999999999999998</v>
      </c>
      <c r="C32" t="s">
        <v>12</v>
      </c>
      <c r="D32" s="2"/>
      <c r="E32" s="2"/>
      <c r="F32" s="2"/>
      <c r="G32">
        <v>65</v>
      </c>
      <c r="H32">
        <f>'1a. Spredningsmodell input'!$I$2+G32</f>
        <v>65</v>
      </c>
      <c r="I32" t="e">
        <f t="shared" ca="1" si="5"/>
        <v>#VALUE!</v>
      </c>
      <c r="J32" t="e">
        <f t="shared" ca="1" si="6"/>
        <v>#VALUE!</v>
      </c>
      <c r="K32" t="e">
        <f t="shared" ca="1" si="11"/>
        <v>#VALUE!</v>
      </c>
      <c r="L32" t="e">
        <f t="shared" ca="1" si="12"/>
        <v>#VALUE!</v>
      </c>
      <c r="M32" t="e">
        <f t="shared" ca="1" si="7"/>
        <v>#VALUE!</v>
      </c>
      <c r="N32" s="22" t="e">
        <f t="shared" ca="1" si="13"/>
        <v>#VALUE!</v>
      </c>
      <c r="O32" t="e">
        <f t="shared" ca="1" si="14"/>
        <v>#VALUE!</v>
      </c>
      <c r="P32" s="18" t="e">
        <f t="shared" ca="1" si="15"/>
        <v>#VALUE!</v>
      </c>
      <c r="Q32" s="18" t="e">
        <f t="shared" ca="1" si="22"/>
        <v>#VALUE!</v>
      </c>
      <c r="R32" s="19" t="e">
        <f t="shared" ca="1" si="16"/>
        <v>#VALUE!</v>
      </c>
      <c r="S32" s="10" t="e">
        <f t="shared" ca="1" si="17"/>
        <v>#VALUE!</v>
      </c>
      <c r="T32" s="18" t="e">
        <f t="shared" ca="1" si="18"/>
        <v>#VALUE!</v>
      </c>
      <c r="U32" s="45" t="e">
        <f t="shared" ca="1" si="19"/>
        <v>#VALUE!</v>
      </c>
      <c r="V32" s="180" t="e">
        <f ca="1">Q32*1000000000/($B$22*'1a. Spredningsmodell input'!$C$26*1000)</f>
        <v>#VALUE!</v>
      </c>
      <c r="W32" s="44" t="e">
        <f t="shared" ca="1" si="8"/>
        <v>#VALUE!</v>
      </c>
      <c r="X32" s="167" t="e">
        <f t="shared" ca="1" si="9"/>
        <v>#VALUE!</v>
      </c>
      <c r="Y32" s="102" t="e">
        <f ca="1">(U32/1000000)*('1a. Spredningsmodell input'!$B$49)*'1a. Spredningsmodell input'!$C$35</f>
        <v>#VALUE!</v>
      </c>
      <c r="Z32" s="37" t="e">
        <f ca="1">(V32/1000000)*('1a. Spredningsmodell input'!$B$49)*'1a. Spredningsmodell input'!$C$35</f>
        <v>#VALUE!</v>
      </c>
      <c r="AA32" s="37" t="e">
        <f t="shared" ca="1" si="10"/>
        <v>#VALUE!</v>
      </c>
      <c r="AB32" s="1" t="e">
        <f t="shared" ca="1" si="20"/>
        <v>#VALUE!</v>
      </c>
      <c r="AC32" s="37" t="e">
        <f t="shared" ca="1" si="21"/>
        <v>#VALUE!</v>
      </c>
      <c r="AD32"/>
      <c r="AE32"/>
      <c r="AG32" s="45"/>
      <c r="AH32" s="1"/>
      <c r="AI32" s="22"/>
      <c r="AL32"/>
    </row>
    <row r="33" spans="1:38" ht="16.5" x14ac:dyDescent="0.45">
      <c r="A33" t="s">
        <v>33</v>
      </c>
      <c r="B33" s="31">
        <f ca="1">INDIRECT(ADDRESS($B$11,6,,,"Mellomregninger"))</f>
        <v>2.670916391413894E-5</v>
      </c>
      <c r="C33" t="s">
        <v>12</v>
      </c>
      <c r="D33" s="31"/>
      <c r="E33" s="31"/>
      <c r="F33" s="31"/>
      <c r="G33">
        <v>70</v>
      </c>
      <c r="H33">
        <f>'1a. Spredningsmodell input'!$I$2+G33</f>
        <v>70</v>
      </c>
      <c r="I33" t="e">
        <f t="shared" ca="1" si="5"/>
        <v>#VALUE!</v>
      </c>
      <c r="J33" t="e">
        <f t="shared" ca="1" si="6"/>
        <v>#VALUE!</v>
      </c>
      <c r="K33" t="e">
        <f t="shared" ca="1" si="11"/>
        <v>#VALUE!</v>
      </c>
      <c r="L33" t="e">
        <f t="shared" ca="1" si="12"/>
        <v>#VALUE!</v>
      </c>
      <c r="M33" t="e">
        <f t="shared" ca="1" si="7"/>
        <v>#VALUE!</v>
      </c>
      <c r="N33" s="22" t="e">
        <f t="shared" ca="1" si="13"/>
        <v>#VALUE!</v>
      </c>
      <c r="O33" t="e">
        <f t="shared" ca="1" si="14"/>
        <v>#VALUE!</v>
      </c>
      <c r="P33" s="18" t="e">
        <f t="shared" ca="1" si="15"/>
        <v>#VALUE!</v>
      </c>
      <c r="Q33" s="18" t="e">
        <f t="shared" ca="1" si="22"/>
        <v>#VALUE!</v>
      </c>
      <c r="R33" s="19" t="e">
        <f t="shared" ca="1" si="16"/>
        <v>#VALUE!</v>
      </c>
      <c r="S33" s="10" t="e">
        <f t="shared" ca="1" si="17"/>
        <v>#VALUE!</v>
      </c>
      <c r="T33" s="18" t="e">
        <f t="shared" ca="1" si="18"/>
        <v>#VALUE!</v>
      </c>
      <c r="U33" s="45" t="e">
        <f t="shared" ca="1" si="19"/>
        <v>#VALUE!</v>
      </c>
      <c r="V33" s="180" t="e">
        <f ca="1">Q33*1000000000/($B$22*'1a. Spredningsmodell input'!$C$26*1000)</f>
        <v>#VALUE!</v>
      </c>
      <c r="W33" s="44" t="e">
        <f t="shared" ca="1" si="8"/>
        <v>#VALUE!</v>
      </c>
      <c r="X33" s="167" t="e">
        <f t="shared" ca="1" si="9"/>
        <v>#VALUE!</v>
      </c>
      <c r="Y33" s="102" t="e">
        <f ca="1">(U33/1000000)*('1a. Spredningsmodell input'!$B$49)*'1a. Spredningsmodell input'!$C$35</f>
        <v>#VALUE!</v>
      </c>
      <c r="Z33" s="37" t="e">
        <f ca="1">(V33/1000000)*('1a. Spredningsmodell input'!$B$49)*'1a. Spredningsmodell input'!$C$35</f>
        <v>#VALUE!</v>
      </c>
      <c r="AA33" s="37" t="e">
        <f t="shared" ca="1" si="10"/>
        <v>#VALUE!</v>
      </c>
      <c r="AB33" s="1" t="e">
        <f t="shared" ca="1" si="20"/>
        <v>#VALUE!</v>
      </c>
      <c r="AC33" s="37" t="e">
        <f t="shared" ca="1" si="21"/>
        <v>#VALUE!</v>
      </c>
      <c r="AD33" s="1"/>
      <c r="AE33"/>
      <c r="AG33" s="45"/>
      <c r="AH33" s="1"/>
      <c r="AI33" s="22"/>
      <c r="AL33"/>
    </row>
    <row r="34" spans="1:38" ht="16.5" x14ac:dyDescent="0.45">
      <c r="A34" s="1" t="s">
        <v>16</v>
      </c>
      <c r="B34" s="37">
        <f ca="1">INDIRECT(ADDRESS($B$11,12,,,"Stoff"))*365</f>
        <v>0</v>
      </c>
      <c r="C34" s="1" t="s">
        <v>12</v>
      </c>
      <c r="D34" s="37"/>
      <c r="E34" s="37"/>
      <c r="F34" s="37"/>
      <c r="G34">
        <v>75</v>
      </c>
      <c r="H34">
        <f>'1a. Spredningsmodell input'!$I$2+G34</f>
        <v>75</v>
      </c>
      <c r="I34" t="e">
        <f t="shared" ca="1" si="5"/>
        <v>#VALUE!</v>
      </c>
      <c r="J34" t="e">
        <f t="shared" ca="1" si="6"/>
        <v>#VALUE!</v>
      </c>
      <c r="K34" t="e">
        <f t="shared" ca="1" si="11"/>
        <v>#VALUE!</v>
      </c>
      <c r="L34" t="e">
        <f t="shared" ca="1" si="12"/>
        <v>#VALUE!</v>
      </c>
      <c r="M34" t="e">
        <f t="shared" ca="1" si="7"/>
        <v>#VALUE!</v>
      </c>
      <c r="N34" s="22" t="e">
        <f t="shared" ca="1" si="13"/>
        <v>#VALUE!</v>
      </c>
      <c r="O34" t="e">
        <f t="shared" ca="1" si="14"/>
        <v>#VALUE!</v>
      </c>
      <c r="P34" s="18" t="e">
        <f t="shared" ca="1" si="15"/>
        <v>#VALUE!</v>
      </c>
      <c r="Q34" s="18" t="e">
        <f t="shared" ca="1" si="22"/>
        <v>#VALUE!</v>
      </c>
      <c r="R34" s="19" t="e">
        <f t="shared" ca="1" si="16"/>
        <v>#VALUE!</v>
      </c>
      <c r="S34" s="10" t="e">
        <f t="shared" ca="1" si="17"/>
        <v>#VALUE!</v>
      </c>
      <c r="T34" s="18" t="e">
        <f t="shared" ca="1" si="18"/>
        <v>#VALUE!</v>
      </c>
      <c r="U34" s="45" t="e">
        <f t="shared" ca="1" si="19"/>
        <v>#VALUE!</v>
      </c>
      <c r="V34" s="180" t="e">
        <f ca="1">Q34*1000000000/($B$22*'1a. Spredningsmodell input'!$C$26*1000)</f>
        <v>#VALUE!</v>
      </c>
      <c r="W34" s="44" t="e">
        <f t="shared" ca="1" si="8"/>
        <v>#VALUE!</v>
      </c>
      <c r="X34" s="167" t="e">
        <f t="shared" ca="1" si="9"/>
        <v>#VALUE!</v>
      </c>
      <c r="Y34" s="102" t="e">
        <f ca="1">(U34/1000000)*('1a. Spredningsmodell input'!$B$49)*'1a. Spredningsmodell input'!$C$35</f>
        <v>#VALUE!</v>
      </c>
      <c r="Z34" s="37" t="e">
        <f ca="1">(V34/1000000)*('1a. Spredningsmodell input'!$B$49)*'1a. Spredningsmodell input'!$C$35</f>
        <v>#VALUE!</v>
      </c>
      <c r="AA34" s="37" t="e">
        <f t="shared" ca="1" si="10"/>
        <v>#VALUE!</v>
      </c>
      <c r="AB34" s="1" t="e">
        <f t="shared" ca="1" si="20"/>
        <v>#VALUE!</v>
      </c>
      <c r="AC34" s="37" t="e">
        <f t="shared" ca="1" si="21"/>
        <v>#VALUE!</v>
      </c>
      <c r="AD34" s="1"/>
      <c r="AE34" s="44"/>
      <c r="AG34" s="45"/>
      <c r="AH34" s="1"/>
      <c r="AI34" s="22"/>
      <c r="AL34"/>
    </row>
    <row r="35" spans="1:38" x14ac:dyDescent="0.35">
      <c r="A35" s="1" t="s">
        <v>83</v>
      </c>
      <c r="B35" s="32">
        <f ca="1">B33/(B33+B34)</f>
        <v>1</v>
      </c>
      <c r="C35" s="1" t="s">
        <v>3</v>
      </c>
      <c r="D35" s="32"/>
      <c r="E35" s="32"/>
      <c r="F35" s="32"/>
      <c r="G35">
        <v>80</v>
      </c>
      <c r="H35">
        <f>'1a. Spredningsmodell input'!$I$2+G35</f>
        <v>80</v>
      </c>
      <c r="I35" t="e">
        <f t="shared" ca="1" si="5"/>
        <v>#VALUE!</v>
      </c>
      <c r="J35" t="e">
        <f t="shared" ca="1" si="6"/>
        <v>#VALUE!</v>
      </c>
      <c r="K35" t="e">
        <f t="shared" ca="1" si="11"/>
        <v>#VALUE!</v>
      </c>
      <c r="L35" t="e">
        <f t="shared" ca="1" si="12"/>
        <v>#VALUE!</v>
      </c>
      <c r="M35" t="e">
        <f t="shared" ca="1" si="7"/>
        <v>#VALUE!</v>
      </c>
      <c r="N35" s="22" t="e">
        <f t="shared" ca="1" si="13"/>
        <v>#VALUE!</v>
      </c>
      <c r="O35" t="e">
        <f t="shared" ca="1" si="14"/>
        <v>#VALUE!</v>
      </c>
      <c r="P35" s="18" t="e">
        <f t="shared" ca="1" si="15"/>
        <v>#VALUE!</v>
      </c>
      <c r="Q35" s="18" t="e">
        <f t="shared" ca="1" si="22"/>
        <v>#VALUE!</v>
      </c>
      <c r="R35" s="19" t="e">
        <f t="shared" ca="1" si="16"/>
        <v>#VALUE!</v>
      </c>
      <c r="S35" s="10" t="e">
        <f t="shared" ca="1" si="17"/>
        <v>#VALUE!</v>
      </c>
      <c r="T35" s="10" t="e">
        <f t="shared" ca="1" si="18"/>
        <v>#VALUE!</v>
      </c>
      <c r="U35" s="45" t="e">
        <f t="shared" ca="1" si="19"/>
        <v>#VALUE!</v>
      </c>
      <c r="V35" s="180" t="e">
        <f ca="1">Q35*1000000000/($B$22*'1a. Spredningsmodell input'!$C$26*1000)</f>
        <v>#VALUE!</v>
      </c>
      <c r="W35" s="44" t="e">
        <f t="shared" ca="1" si="8"/>
        <v>#VALUE!</v>
      </c>
      <c r="X35" s="167" t="e">
        <f t="shared" ca="1" si="9"/>
        <v>#VALUE!</v>
      </c>
      <c r="Y35" s="102" t="e">
        <f ca="1">(U35/1000000)*('1a. Spredningsmodell input'!$B$49)*'1a. Spredningsmodell input'!$C$35</f>
        <v>#VALUE!</v>
      </c>
      <c r="Z35" s="37" t="e">
        <f ca="1">(V35/1000000)*('1a. Spredningsmodell input'!$B$49)*'1a. Spredningsmodell input'!$C$35</f>
        <v>#VALUE!</v>
      </c>
      <c r="AA35" s="37" t="e">
        <f t="shared" ca="1" si="10"/>
        <v>#VALUE!</v>
      </c>
      <c r="AB35" s="1" t="e">
        <f t="shared" ca="1" si="20"/>
        <v>#VALUE!</v>
      </c>
      <c r="AC35" s="37" t="e">
        <f t="shared" ca="1" si="21"/>
        <v>#VALUE!</v>
      </c>
      <c r="AD35" s="1"/>
      <c r="AE35"/>
      <c r="AG35" s="45"/>
      <c r="AH35" s="1"/>
      <c r="AI35" s="22"/>
      <c r="AL35"/>
    </row>
    <row r="36" spans="1:38" ht="16.5" x14ac:dyDescent="0.45">
      <c r="A36" t="s">
        <v>34</v>
      </c>
      <c r="B36" s="2">
        <f>'1a. Spredningsmodell input'!B46</f>
        <v>47.3</v>
      </c>
      <c r="C36" t="s">
        <v>12</v>
      </c>
      <c r="D36" s="2"/>
      <c r="E36" s="2"/>
      <c r="F36" s="2"/>
      <c r="G36">
        <v>85</v>
      </c>
      <c r="H36">
        <f>'1a. Spredningsmodell input'!$I$2+G36</f>
        <v>85</v>
      </c>
      <c r="I36" t="e">
        <f t="shared" ca="1" si="5"/>
        <v>#VALUE!</v>
      </c>
      <c r="J36" t="e">
        <f t="shared" ca="1" si="6"/>
        <v>#VALUE!</v>
      </c>
      <c r="K36" t="e">
        <f t="shared" ca="1" si="11"/>
        <v>#VALUE!</v>
      </c>
      <c r="L36" t="e">
        <f t="shared" ca="1" si="12"/>
        <v>#VALUE!</v>
      </c>
      <c r="M36" t="e">
        <f t="shared" ca="1" si="7"/>
        <v>#VALUE!</v>
      </c>
      <c r="N36" s="22" t="e">
        <f t="shared" ca="1" si="13"/>
        <v>#VALUE!</v>
      </c>
      <c r="O36" t="e">
        <f t="shared" ca="1" si="14"/>
        <v>#VALUE!</v>
      </c>
      <c r="P36" s="18" t="e">
        <f t="shared" ca="1" si="15"/>
        <v>#VALUE!</v>
      </c>
      <c r="Q36" s="18" t="e">
        <f t="shared" ca="1" si="22"/>
        <v>#VALUE!</v>
      </c>
      <c r="R36" s="19" t="e">
        <f t="shared" ca="1" si="16"/>
        <v>#VALUE!</v>
      </c>
      <c r="S36" s="10" t="e">
        <f t="shared" ca="1" si="17"/>
        <v>#VALUE!</v>
      </c>
      <c r="T36" s="10" t="e">
        <f t="shared" ca="1" si="18"/>
        <v>#VALUE!</v>
      </c>
      <c r="U36" s="45" t="e">
        <f t="shared" ca="1" si="19"/>
        <v>#VALUE!</v>
      </c>
      <c r="V36" s="180" t="e">
        <f ca="1">Q36*1000000000/($B$22*'1a. Spredningsmodell input'!$C$26*1000)</f>
        <v>#VALUE!</v>
      </c>
      <c r="W36" s="44" t="e">
        <f t="shared" ca="1" si="8"/>
        <v>#VALUE!</v>
      </c>
      <c r="X36" s="167" t="e">
        <f t="shared" ca="1" si="9"/>
        <v>#VALUE!</v>
      </c>
      <c r="Y36" s="102" t="e">
        <f ca="1">(U36/1000000)*('1a. Spredningsmodell input'!$B$49)*'1a. Spredningsmodell input'!$C$35</f>
        <v>#VALUE!</v>
      </c>
      <c r="Z36" s="37" t="e">
        <f ca="1">(V36/1000000)*('1a. Spredningsmodell input'!$B$49)*'1a. Spredningsmodell input'!$C$35</f>
        <v>#VALUE!</v>
      </c>
      <c r="AA36" s="37" t="e">
        <f t="shared" ca="1" si="10"/>
        <v>#VALUE!</v>
      </c>
      <c r="AB36" s="1" t="e">
        <f t="shared" ca="1" si="20"/>
        <v>#VALUE!</v>
      </c>
      <c r="AC36" s="37" t="e">
        <f t="shared" ca="1" si="21"/>
        <v>#VALUE!</v>
      </c>
      <c r="AD36" s="1"/>
      <c r="AE36"/>
      <c r="AG36" s="45"/>
      <c r="AH36" s="1"/>
      <c r="AI36" s="22"/>
      <c r="AL36"/>
    </row>
    <row r="37" spans="1:38" ht="16.5" x14ac:dyDescent="0.45">
      <c r="A37" t="s">
        <v>15</v>
      </c>
      <c r="B37" s="31">
        <f ca="1">INDIRECT(ADDRESS($B$11,14,,,"Mellomregninger"))</f>
        <v>1.4244633779368431E-5</v>
      </c>
      <c r="C37" t="s">
        <v>12</v>
      </c>
      <c r="D37" s="31"/>
      <c r="E37" s="31"/>
      <c r="F37" s="31"/>
      <c r="G37">
        <v>90</v>
      </c>
      <c r="H37">
        <f>'1a. Spredningsmodell input'!$I$2+G37</f>
        <v>90</v>
      </c>
      <c r="I37" t="e">
        <f t="shared" ca="1" si="5"/>
        <v>#VALUE!</v>
      </c>
      <c r="J37" t="e">
        <f t="shared" ca="1" si="6"/>
        <v>#VALUE!</v>
      </c>
      <c r="K37" t="e">
        <f t="shared" ca="1" si="11"/>
        <v>#VALUE!</v>
      </c>
      <c r="L37" t="e">
        <f t="shared" ca="1" si="12"/>
        <v>#VALUE!</v>
      </c>
      <c r="M37" t="e">
        <f t="shared" ca="1" si="7"/>
        <v>#VALUE!</v>
      </c>
      <c r="N37" s="22" t="e">
        <f t="shared" ca="1" si="13"/>
        <v>#VALUE!</v>
      </c>
      <c r="O37" t="e">
        <f t="shared" ca="1" si="14"/>
        <v>#VALUE!</v>
      </c>
      <c r="P37" s="18" t="e">
        <f t="shared" ca="1" si="15"/>
        <v>#VALUE!</v>
      </c>
      <c r="Q37" s="18" t="e">
        <f t="shared" ca="1" si="22"/>
        <v>#VALUE!</v>
      </c>
      <c r="R37" s="19" t="e">
        <f t="shared" ca="1" si="16"/>
        <v>#VALUE!</v>
      </c>
      <c r="S37" s="10" t="e">
        <f t="shared" ca="1" si="17"/>
        <v>#VALUE!</v>
      </c>
      <c r="T37" s="10" t="e">
        <f t="shared" ca="1" si="18"/>
        <v>#VALUE!</v>
      </c>
      <c r="U37" s="45" t="e">
        <f t="shared" ca="1" si="19"/>
        <v>#VALUE!</v>
      </c>
      <c r="V37" s="180" t="e">
        <f ca="1">Q37*1000000000/($B$22*'1a. Spredningsmodell input'!$C$26*1000)</f>
        <v>#VALUE!</v>
      </c>
      <c r="W37" s="44" t="e">
        <f t="shared" ca="1" si="8"/>
        <v>#VALUE!</v>
      </c>
      <c r="X37" s="167" t="e">
        <f t="shared" ca="1" si="9"/>
        <v>#VALUE!</v>
      </c>
      <c r="Y37" s="102" t="e">
        <f ca="1">(U37/1000000)*('1a. Spredningsmodell input'!$B$49)*'1a. Spredningsmodell input'!$C$35</f>
        <v>#VALUE!</v>
      </c>
      <c r="Z37" s="37" t="e">
        <f ca="1">(V37/1000000)*('1a. Spredningsmodell input'!$B$49)*'1a. Spredningsmodell input'!$C$35</f>
        <v>#VALUE!</v>
      </c>
      <c r="AA37" s="37" t="e">
        <f t="shared" ca="1" si="10"/>
        <v>#VALUE!</v>
      </c>
      <c r="AB37" s="1" t="e">
        <f t="shared" ca="1" si="20"/>
        <v>#VALUE!</v>
      </c>
      <c r="AC37" s="37" t="e">
        <f t="shared" ca="1" si="21"/>
        <v>#VALUE!</v>
      </c>
      <c r="AD37" s="1"/>
      <c r="AE37" s="44"/>
      <c r="AG37" s="45"/>
      <c r="AH37" s="1"/>
      <c r="AI37" s="22"/>
      <c r="AL37"/>
    </row>
    <row r="38" spans="1:38" ht="16.5" x14ac:dyDescent="0.45">
      <c r="A38" s="1" t="s">
        <v>17</v>
      </c>
      <c r="B38" s="37">
        <f ca="1">INDIRECT(ADDRESS($B$11,13,,,"Stoff"))*365</f>
        <v>0</v>
      </c>
      <c r="C38" s="1" t="s">
        <v>12</v>
      </c>
      <c r="D38" s="37"/>
      <c r="E38" s="37"/>
      <c r="F38" s="37"/>
      <c r="G38">
        <v>95</v>
      </c>
      <c r="H38">
        <f>'1a. Spredningsmodell input'!$I$2+G38</f>
        <v>95</v>
      </c>
      <c r="I38" t="e">
        <f t="shared" ca="1" si="5"/>
        <v>#VALUE!</v>
      </c>
      <c r="J38" t="e">
        <f t="shared" ca="1" si="6"/>
        <v>#VALUE!</v>
      </c>
      <c r="K38" t="e">
        <f t="shared" ca="1" si="11"/>
        <v>#VALUE!</v>
      </c>
      <c r="L38" t="e">
        <f t="shared" ca="1" si="12"/>
        <v>#VALUE!</v>
      </c>
      <c r="M38" t="e">
        <f t="shared" ca="1" si="7"/>
        <v>#VALUE!</v>
      </c>
      <c r="N38" s="22" t="e">
        <f t="shared" ca="1" si="13"/>
        <v>#VALUE!</v>
      </c>
      <c r="O38" t="e">
        <f t="shared" ca="1" si="14"/>
        <v>#VALUE!</v>
      </c>
      <c r="P38" s="18" t="e">
        <f t="shared" ca="1" si="15"/>
        <v>#VALUE!</v>
      </c>
      <c r="Q38" s="18" t="e">
        <f t="shared" ca="1" si="22"/>
        <v>#VALUE!</v>
      </c>
      <c r="R38" s="19" t="e">
        <f t="shared" ca="1" si="16"/>
        <v>#VALUE!</v>
      </c>
      <c r="S38" s="10" t="e">
        <f t="shared" ca="1" si="17"/>
        <v>#VALUE!</v>
      </c>
      <c r="T38" s="10" t="e">
        <f t="shared" ca="1" si="18"/>
        <v>#VALUE!</v>
      </c>
      <c r="U38" s="45" t="e">
        <f t="shared" ca="1" si="19"/>
        <v>#VALUE!</v>
      </c>
      <c r="V38" s="180" t="e">
        <f ca="1">Q38*1000000000/($B$22*'1a. Spredningsmodell input'!$C$26*1000)</f>
        <v>#VALUE!</v>
      </c>
      <c r="W38" s="44" t="e">
        <f t="shared" ca="1" si="8"/>
        <v>#VALUE!</v>
      </c>
      <c r="X38" s="167" t="e">
        <f t="shared" ca="1" si="9"/>
        <v>#VALUE!</v>
      </c>
      <c r="Y38" s="102" t="e">
        <f ca="1">(U38/1000000)*('1a. Spredningsmodell input'!$B$49)*'1a. Spredningsmodell input'!$C$35</f>
        <v>#VALUE!</v>
      </c>
      <c r="Z38" s="37" t="e">
        <f ca="1">(V38/1000000)*('1a. Spredningsmodell input'!$B$49)*'1a. Spredningsmodell input'!$C$35</f>
        <v>#VALUE!</v>
      </c>
      <c r="AA38" s="37" t="e">
        <f t="shared" ca="1" si="10"/>
        <v>#VALUE!</v>
      </c>
      <c r="AB38" s="1" t="e">
        <f t="shared" ca="1" si="20"/>
        <v>#VALUE!</v>
      </c>
      <c r="AC38" s="37" t="e">
        <f t="shared" ca="1" si="21"/>
        <v>#VALUE!</v>
      </c>
      <c r="AD38" s="1"/>
      <c r="AE38" s="44"/>
      <c r="AG38" s="45"/>
      <c r="AH38" s="1"/>
      <c r="AI38" s="22"/>
      <c r="AL38"/>
    </row>
    <row r="39" spans="1:38" x14ac:dyDescent="0.35">
      <c r="A39" s="1" t="s">
        <v>85</v>
      </c>
      <c r="B39" s="32">
        <f ca="1">B37/(B37+B38)</f>
        <v>1</v>
      </c>
      <c r="C39" s="1" t="s">
        <v>3</v>
      </c>
      <c r="D39" s="32"/>
      <c r="E39" s="32"/>
      <c r="F39" s="32"/>
      <c r="G39">
        <v>100</v>
      </c>
      <c r="H39">
        <f>'1a. Spredningsmodell input'!$I$2+G39</f>
        <v>100</v>
      </c>
      <c r="I39" t="e">
        <f t="shared" ca="1" si="5"/>
        <v>#VALUE!</v>
      </c>
      <c r="J39" t="e">
        <f t="shared" ca="1" si="6"/>
        <v>#VALUE!</v>
      </c>
      <c r="K39" t="e">
        <f t="shared" ca="1" si="11"/>
        <v>#VALUE!</v>
      </c>
      <c r="L39" t="e">
        <f t="shared" ca="1" si="12"/>
        <v>#VALUE!</v>
      </c>
      <c r="M39" t="e">
        <f t="shared" ca="1" si="7"/>
        <v>#VALUE!</v>
      </c>
      <c r="N39" s="22" t="e">
        <f t="shared" ca="1" si="13"/>
        <v>#VALUE!</v>
      </c>
      <c r="O39" t="e">
        <f t="shared" ca="1" si="14"/>
        <v>#VALUE!</v>
      </c>
      <c r="P39" s="18" t="e">
        <f t="shared" ca="1" si="15"/>
        <v>#VALUE!</v>
      </c>
      <c r="Q39" s="18" t="e">
        <f t="shared" ca="1" si="22"/>
        <v>#VALUE!</v>
      </c>
      <c r="R39" s="19" t="e">
        <f t="shared" ca="1" si="16"/>
        <v>#VALUE!</v>
      </c>
      <c r="S39" s="10" t="e">
        <f t="shared" ca="1" si="17"/>
        <v>#VALUE!</v>
      </c>
      <c r="T39" s="10" t="e">
        <f t="shared" ca="1" si="18"/>
        <v>#VALUE!</v>
      </c>
      <c r="U39" s="45" t="e">
        <f t="shared" ca="1" si="19"/>
        <v>#VALUE!</v>
      </c>
      <c r="V39" s="180" t="e">
        <f ca="1">Q39*1000000000/($B$22*'1a. Spredningsmodell input'!$C$26*1000)</f>
        <v>#VALUE!</v>
      </c>
      <c r="W39" s="44" t="e">
        <f t="shared" ca="1" si="8"/>
        <v>#VALUE!</v>
      </c>
      <c r="X39" s="167" t="e">
        <f t="shared" ca="1" si="9"/>
        <v>#VALUE!</v>
      </c>
      <c r="Y39" s="102" t="e">
        <f ca="1">(U39/1000000)*('1a. Spredningsmodell input'!$B$49)*'1a. Spredningsmodell input'!$C$35</f>
        <v>#VALUE!</v>
      </c>
      <c r="Z39" s="37" t="e">
        <f ca="1">(V39/1000000)*('1a. Spredningsmodell input'!$B$49)*'1a. Spredningsmodell input'!$C$35</f>
        <v>#VALUE!</v>
      </c>
      <c r="AA39" s="37" t="e">
        <f t="shared" ca="1" si="10"/>
        <v>#VALUE!</v>
      </c>
      <c r="AB39" s="1" t="e">
        <f t="shared" ca="1" si="20"/>
        <v>#VALUE!</v>
      </c>
      <c r="AC39" s="37" t="e">
        <f t="shared" ca="1" si="21"/>
        <v>#VALUE!</v>
      </c>
      <c r="AD39"/>
      <c r="AG39" s="45"/>
      <c r="AH39" s="1"/>
      <c r="AI39" s="22"/>
      <c r="AL39"/>
    </row>
    <row r="40" spans="1:38" ht="16.5" x14ac:dyDescent="0.45">
      <c r="A40" t="s">
        <v>74</v>
      </c>
      <c r="B40" s="2">
        <f>1/'1a. Spredningsmodell input'!C35</f>
        <v>1</v>
      </c>
      <c r="C40" s="1" t="s">
        <v>12</v>
      </c>
      <c r="D40" s="2"/>
      <c r="E40" s="2"/>
      <c r="F40" s="2"/>
      <c r="G40">
        <v>105</v>
      </c>
      <c r="H40">
        <f>'1a. Spredningsmodell input'!$I$2+G40</f>
        <v>105</v>
      </c>
      <c r="I40" t="e">
        <f t="shared" ca="1" si="5"/>
        <v>#VALUE!</v>
      </c>
      <c r="J40" t="e">
        <f t="shared" ca="1" si="6"/>
        <v>#VALUE!</v>
      </c>
      <c r="K40" t="e">
        <f t="shared" ca="1" si="11"/>
        <v>#VALUE!</v>
      </c>
      <c r="L40" t="e">
        <f t="shared" ca="1" si="12"/>
        <v>#VALUE!</v>
      </c>
      <c r="M40" t="e">
        <f t="shared" ca="1" si="7"/>
        <v>#VALUE!</v>
      </c>
      <c r="N40" s="22" t="e">
        <f t="shared" ca="1" si="13"/>
        <v>#VALUE!</v>
      </c>
      <c r="O40" t="e">
        <f t="shared" ca="1" si="14"/>
        <v>#VALUE!</v>
      </c>
      <c r="P40" s="18" t="e">
        <f t="shared" ca="1" si="15"/>
        <v>#VALUE!</v>
      </c>
      <c r="Q40" s="18" t="e">
        <f t="shared" ca="1" si="22"/>
        <v>#VALUE!</v>
      </c>
      <c r="R40" s="19" t="e">
        <f t="shared" ca="1" si="16"/>
        <v>#VALUE!</v>
      </c>
      <c r="S40" s="10" t="e">
        <f t="shared" ca="1" si="17"/>
        <v>#VALUE!</v>
      </c>
      <c r="T40" s="10" t="e">
        <f t="shared" ca="1" si="18"/>
        <v>#VALUE!</v>
      </c>
      <c r="U40" s="45" t="e">
        <f t="shared" ca="1" si="19"/>
        <v>#VALUE!</v>
      </c>
      <c r="V40" s="180" t="e">
        <f ca="1">Q40*1000000000/($B$22*'1a. Spredningsmodell input'!$C$26*1000)</f>
        <v>#VALUE!</v>
      </c>
      <c r="W40" s="44" t="e">
        <f t="shared" ca="1" si="8"/>
        <v>#VALUE!</v>
      </c>
      <c r="X40" s="167" t="e">
        <f t="shared" ca="1" si="9"/>
        <v>#VALUE!</v>
      </c>
      <c r="Y40" s="102" t="e">
        <f ca="1">(U40/1000000)*('1a. Spredningsmodell input'!$B$49)*'1a. Spredningsmodell input'!$C$35</f>
        <v>#VALUE!</v>
      </c>
      <c r="Z40" s="37" t="e">
        <f ca="1">(V40/1000000)*('1a. Spredningsmodell input'!$B$49)*'1a. Spredningsmodell input'!$C$35</f>
        <v>#VALUE!</v>
      </c>
      <c r="AA40" s="37" t="e">
        <f t="shared" ca="1" si="10"/>
        <v>#VALUE!</v>
      </c>
      <c r="AB40" s="1" t="e">
        <f t="shared" ca="1" si="20"/>
        <v>#VALUE!</v>
      </c>
      <c r="AC40" s="37" t="e">
        <f t="shared" ca="1" si="21"/>
        <v>#VALUE!</v>
      </c>
      <c r="AD40"/>
      <c r="AG40" s="45"/>
      <c r="AH40" s="1"/>
      <c r="AI40" s="22"/>
      <c r="AL40"/>
    </row>
    <row r="41" spans="1:38" ht="16.5" x14ac:dyDescent="0.45">
      <c r="A41" t="s">
        <v>75</v>
      </c>
      <c r="B41" s="31">
        <f>1/'1a. Spredningsmodell input'!C35</f>
        <v>1</v>
      </c>
      <c r="C41" s="1" t="s">
        <v>12</v>
      </c>
      <c r="D41" s="31"/>
      <c r="E41" s="31"/>
      <c r="F41" s="31"/>
      <c r="G41">
        <v>110</v>
      </c>
      <c r="H41">
        <f>'1a. Spredningsmodell input'!$I$2+G41</f>
        <v>110</v>
      </c>
      <c r="I41" t="e">
        <f t="shared" ca="1" si="5"/>
        <v>#VALUE!</v>
      </c>
      <c r="J41" t="e">
        <f t="shared" ca="1" si="6"/>
        <v>#VALUE!</v>
      </c>
      <c r="K41" t="e">
        <f t="shared" ca="1" si="11"/>
        <v>#VALUE!</v>
      </c>
      <c r="L41" t="e">
        <f t="shared" ca="1" si="12"/>
        <v>#VALUE!</v>
      </c>
      <c r="M41" t="e">
        <f t="shared" ca="1" si="7"/>
        <v>#VALUE!</v>
      </c>
      <c r="N41" s="22" t="e">
        <f t="shared" ca="1" si="13"/>
        <v>#VALUE!</v>
      </c>
      <c r="O41" t="e">
        <f t="shared" ca="1" si="14"/>
        <v>#VALUE!</v>
      </c>
      <c r="P41" s="18" t="e">
        <f t="shared" ca="1" si="15"/>
        <v>#VALUE!</v>
      </c>
      <c r="Q41" s="18" t="e">
        <f t="shared" ca="1" si="22"/>
        <v>#VALUE!</v>
      </c>
      <c r="R41" s="19" t="e">
        <f t="shared" ca="1" si="16"/>
        <v>#VALUE!</v>
      </c>
      <c r="S41" s="10" t="e">
        <f t="shared" ca="1" si="17"/>
        <v>#VALUE!</v>
      </c>
      <c r="T41" s="10" t="e">
        <f t="shared" ca="1" si="18"/>
        <v>#VALUE!</v>
      </c>
      <c r="U41" s="45" t="e">
        <f t="shared" ca="1" si="19"/>
        <v>#VALUE!</v>
      </c>
      <c r="V41" s="180" t="e">
        <f ca="1">Q41*1000000000/($B$22*'1a. Spredningsmodell input'!$C$26*1000)</f>
        <v>#VALUE!</v>
      </c>
      <c r="W41" s="44" t="e">
        <f t="shared" ca="1" si="8"/>
        <v>#VALUE!</v>
      </c>
      <c r="X41" s="167" t="e">
        <f t="shared" ca="1" si="9"/>
        <v>#VALUE!</v>
      </c>
      <c r="Y41" s="102" t="e">
        <f ca="1">(U41/1000000)*('1a. Spredningsmodell input'!$B$49)*'1a. Spredningsmodell input'!$C$35</f>
        <v>#VALUE!</v>
      </c>
      <c r="Z41" s="37" t="e">
        <f ca="1">(V41/1000000)*('1a. Spredningsmodell input'!$B$49)*'1a. Spredningsmodell input'!$C$35</f>
        <v>#VALUE!</v>
      </c>
      <c r="AA41" s="37" t="e">
        <f t="shared" ca="1" si="10"/>
        <v>#VALUE!</v>
      </c>
      <c r="AB41" s="1" t="e">
        <f t="shared" ca="1" si="20"/>
        <v>#VALUE!</v>
      </c>
      <c r="AC41" s="37" t="e">
        <f t="shared" ca="1" si="21"/>
        <v>#VALUE!</v>
      </c>
      <c r="AD41"/>
      <c r="AG41" s="45"/>
      <c r="AH41" s="1"/>
      <c r="AI41" s="22"/>
      <c r="AL41"/>
    </row>
    <row r="42" spans="1:38" ht="16.5" x14ac:dyDescent="0.45">
      <c r="A42" s="1" t="s">
        <v>43</v>
      </c>
      <c r="B42" s="32">
        <f ca="1">INDIRECT(ADDRESS($B$11,14,,,"Stoff"))*365</f>
        <v>0</v>
      </c>
      <c r="C42" s="1" t="s">
        <v>12</v>
      </c>
      <c r="D42" s="32"/>
      <c r="E42" s="32"/>
      <c r="F42" s="32"/>
      <c r="G42">
        <v>115</v>
      </c>
      <c r="H42">
        <f>'1a. Spredningsmodell input'!$I$2+G42</f>
        <v>115</v>
      </c>
      <c r="I42" t="e">
        <f t="shared" ca="1" si="5"/>
        <v>#VALUE!</v>
      </c>
      <c r="J42" t="e">
        <f t="shared" ca="1" si="6"/>
        <v>#VALUE!</v>
      </c>
      <c r="K42" t="e">
        <f t="shared" ca="1" si="11"/>
        <v>#VALUE!</v>
      </c>
      <c r="L42" t="e">
        <f t="shared" ca="1" si="12"/>
        <v>#VALUE!</v>
      </c>
      <c r="M42" t="e">
        <f t="shared" ca="1" si="7"/>
        <v>#VALUE!</v>
      </c>
      <c r="N42" s="22" t="e">
        <f t="shared" ca="1" si="13"/>
        <v>#VALUE!</v>
      </c>
      <c r="O42" t="e">
        <f t="shared" ca="1" si="14"/>
        <v>#VALUE!</v>
      </c>
      <c r="P42" s="18" t="e">
        <f t="shared" ca="1" si="15"/>
        <v>#VALUE!</v>
      </c>
      <c r="Q42" s="18" t="e">
        <f t="shared" ca="1" si="22"/>
        <v>#VALUE!</v>
      </c>
      <c r="R42" s="19" t="e">
        <f t="shared" ca="1" si="16"/>
        <v>#VALUE!</v>
      </c>
      <c r="S42" s="10" t="e">
        <f t="shared" ca="1" si="17"/>
        <v>#VALUE!</v>
      </c>
      <c r="T42" s="10" t="e">
        <f t="shared" ca="1" si="18"/>
        <v>#VALUE!</v>
      </c>
      <c r="U42" s="45" t="e">
        <f t="shared" ca="1" si="19"/>
        <v>#VALUE!</v>
      </c>
      <c r="V42" s="180" t="e">
        <f ca="1">Q42*1000000000/($B$22*'1a. Spredningsmodell input'!$C$26*1000)</f>
        <v>#VALUE!</v>
      </c>
      <c r="W42" s="44" t="e">
        <f t="shared" ca="1" si="8"/>
        <v>#VALUE!</v>
      </c>
      <c r="X42" s="167" t="e">
        <f t="shared" ca="1" si="9"/>
        <v>#VALUE!</v>
      </c>
      <c r="Y42" s="102" t="e">
        <f ca="1">(U42/1000000)*('1a. Spredningsmodell input'!$B$49)*'1a. Spredningsmodell input'!$C$35</f>
        <v>#VALUE!</v>
      </c>
      <c r="Z42" s="37" t="e">
        <f ca="1">(V42/1000000)*('1a. Spredningsmodell input'!$B$49)*'1a. Spredningsmodell input'!$C$35</f>
        <v>#VALUE!</v>
      </c>
      <c r="AA42" s="37" t="e">
        <f t="shared" ca="1" si="10"/>
        <v>#VALUE!</v>
      </c>
      <c r="AB42" s="1" t="e">
        <f t="shared" ca="1" si="20"/>
        <v>#VALUE!</v>
      </c>
      <c r="AC42" s="37" t="e">
        <f t="shared" ca="1" si="21"/>
        <v>#VALUE!</v>
      </c>
      <c r="AD42"/>
      <c r="AG42" s="45"/>
      <c r="AH42" s="1"/>
      <c r="AI42" s="22"/>
      <c r="AL42"/>
    </row>
    <row r="43" spans="1:38" x14ac:dyDescent="0.35">
      <c r="G43">
        <v>120</v>
      </c>
      <c r="H43">
        <f>'1a. Spredningsmodell input'!$I$2+G43</f>
        <v>120</v>
      </c>
      <c r="I43" t="e">
        <f t="shared" ca="1" si="5"/>
        <v>#VALUE!</v>
      </c>
      <c r="J43" t="e">
        <f t="shared" ca="1" si="6"/>
        <v>#VALUE!</v>
      </c>
      <c r="K43" t="e">
        <f t="shared" ca="1" si="11"/>
        <v>#VALUE!</v>
      </c>
      <c r="L43" t="e">
        <f t="shared" ca="1" si="12"/>
        <v>#VALUE!</v>
      </c>
      <c r="M43" t="e">
        <f t="shared" ca="1" si="7"/>
        <v>#VALUE!</v>
      </c>
      <c r="N43" s="22" t="e">
        <f t="shared" ca="1" si="13"/>
        <v>#VALUE!</v>
      </c>
      <c r="O43" t="e">
        <f t="shared" ca="1" si="14"/>
        <v>#VALUE!</v>
      </c>
      <c r="P43" s="18" t="e">
        <f t="shared" ca="1" si="15"/>
        <v>#VALUE!</v>
      </c>
      <c r="Q43" s="18" t="e">
        <f t="shared" ca="1" si="22"/>
        <v>#VALUE!</v>
      </c>
      <c r="R43" s="19" t="e">
        <f t="shared" ca="1" si="16"/>
        <v>#VALUE!</v>
      </c>
      <c r="S43" s="10" t="e">
        <f t="shared" ca="1" si="17"/>
        <v>#VALUE!</v>
      </c>
      <c r="T43" s="10" t="e">
        <f t="shared" ca="1" si="18"/>
        <v>#VALUE!</v>
      </c>
      <c r="U43" s="45" t="e">
        <f t="shared" ca="1" si="19"/>
        <v>#VALUE!</v>
      </c>
      <c r="V43" s="180" t="e">
        <f ca="1">Q43*1000000000/($B$22*'1a. Spredningsmodell input'!$C$26*1000)</f>
        <v>#VALUE!</v>
      </c>
      <c r="W43" s="44" t="e">
        <f t="shared" ca="1" si="8"/>
        <v>#VALUE!</v>
      </c>
      <c r="X43" s="167" t="e">
        <f t="shared" ca="1" si="9"/>
        <v>#VALUE!</v>
      </c>
      <c r="Y43" s="102" t="e">
        <f ca="1">(U43/1000000)*('1a. Spredningsmodell input'!$B$49)*'1a. Spredningsmodell input'!$C$35</f>
        <v>#VALUE!</v>
      </c>
      <c r="Z43" s="37" t="e">
        <f ca="1">(V43/1000000)*('1a. Spredningsmodell input'!$B$49)*'1a. Spredningsmodell input'!$C$35</f>
        <v>#VALUE!</v>
      </c>
      <c r="AA43" s="37" t="e">
        <f t="shared" ca="1" si="10"/>
        <v>#VALUE!</v>
      </c>
      <c r="AB43" s="1" t="e">
        <f t="shared" ca="1" si="20"/>
        <v>#VALUE!</v>
      </c>
      <c r="AC43" s="37" t="e">
        <f t="shared" ca="1" si="21"/>
        <v>#VALUE!</v>
      </c>
      <c r="AD43"/>
      <c r="AG43" s="45"/>
      <c r="AH43" s="1"/>
      <c r="AI43" s="22"/>
      <c r="AL43"/>
    </row>
    <row r="44" spans="1:38" x14ac:dyDescent="0.35">
      <c r="A44" t="s">
        <v>44</v>
      </c>
      <c r="B44" s="3">
        <f ca="1">LN(2)/(B33+B34)</f>
        <v>25951.661489224538</v>
      </c>
      <c r="C44" t="s">
        <v>5</v>
      </c>
      <c r="D44" s="3"/>
      <c r="E44" s="3"/>
      <c r="F44" s="3"/>
      <c r="G44">
        <v>125</v>
      </c>
      <c r="H44">
        <f>'1a. Spredningsmodell input'!$I$2+G44</f>
        <v>125</v>
      </c>
      <c r="I44" t="e">
        <f t="shared" ca="1" si="5"/>
        <v>#VALUE!</v>
      </c>
      <c r="J44" t="e">
        <f t="shared" ca="1" si="6"/>
        <v>#VALUE!</v>
      </c>
      <c r="K44" t="e">
        <f t="shared" ca="1" si="11"/>
        <v>#VALUE!</v>
      </c>
      <c r="L44" t="e">
        <f t="shared" ca="1" si="12"/>
        <v>#VALUE!</v>
      </c>
      <c r="M44" t="e">
        <f t="shared" ca="1" si="7"/>
        <v>#VALUE!</v>
      </c>
      <c r="N44" s="22" t="e">
        <f t="shared" ca="1" si="13"/>
        <v>#VALUE!</v>
      </c>
      <c r="O44" t="e">
        <f t="shared" ca="1" si="14"/>
        <v>#VALUE!</v>
      </c>
      <c r="P44" s="18" t="e">
        <f t="shared" ca="1" si="15"/>
        <v>#VALUE!</v>
      </c>
      <c r="Q44" s="18" t="e">
        <f t="shared" ca="1" si="22"/>
        <v>#VALUE!</v>
      </c>
      <c r="R44" s="19" t="e">
        <f t="shared" ca="1" si="16"/>
        <v>#VALUE!</v>
      </c>
      <c r="S44" s="10" t="e">
        <f t="shared" ca="1" si="17"/>
        <v>#VALUE!</v>
      </c>
      <c r="T44" s="10" t="e">
        <f t="shared" ca="1" si="18"/>
        <v>#VALUE!</v>
      </c>
      <c r="U44" s="45" t="e">
        <f t="shared" ca="1" si="19"/>
        <v>#VALUE!</v>
      </c>
      <c r="V44" s="180" t="e">
        <f ca="1">Q44*1000000000/($B$22*'1a. Spredningsmodell input'!$C$26*1000)</f>
        <v>#VALUE!</v>
      </c>
      <c r="W44" s="44" t="e">
        <f t="shared" ca="1" si="8"/>
        <v>#VALUE!</v>
      </c>
      <c r="X44" s="167" t="e">
        <f t="shared" ca="1" si="9"/>
        <v>#VALUE!</v>
      </c>
      <c r="Y44" s="102" t="e">
        <f ca="1">(U44/1000000)*('1a. Spredningsmodell input'!$B$49)*'1a. Spredningsmodell input'!$C$35</f>
        <v>#VALUE!</v>
      </c>
      <c r="Z44" s="37" t="e">
        <f ca="1">(V44/1000000)*('1a. Spredningsmodell input'!$B$49)*'1a. Spredningsmodell input'!$C$35</f>
        <v>#VALUE!</v>
      </c>
      <c r="AA44" s="37" t="e">
        <f t="shared" ca="1" si="10"/>
        <v>#VALUE!</v>
      </c>
      <c r="AB44" s="1" t="e">
        <f t="shared" ca="1" si="20"/>
        <v>#VALUE!</v>
      </c>
      <c r="AC44" s="37" t="e">
        <f t="shared" ca="1" si="21"/>
        <v>#VALUE!</v>
      </c>
      <c r="AD44"/>
      <c r="AG44" s="45"/>
      <c r="AH44" s="1"/>
      <c r="AI44" s="22"/>
      <c r="AL44"/>
    </row>
    <row r="45" spans="1:38" x14ac:dyDescent="0.35">
      <c r="A45" t="s">
        <v>45</v>
      </c>
      <c r="B45" s="3">
        <f ca="1">LN(2)/(B37+B38)</f>
        <v>48660.231726271697</v>
      </c>
      <c r="C45" t="s">
        <v>5</v>
      </c>
      <c r="D45" s="3"/>
      <c r="E45" s="3"/>
      <c r="F45" s="3"/>
      <c r="G45">
        <v>130</v>
      </c>
      <c r="H45">
        <f>'1a. Spredningsmodell input'!$I$2+G45</f>
        <v>130</v>
      </c>
      <c r="I45" t="e">
        <f t="shared" ca="1" si="5"/>
        <v>#VALUE!</v>
      </c>
      <c r="J45" t="e">
        <f t="shared" ca="1" si="6"/>
        <v>#VALUE!</v>
      </c>
      <c r="K45" t="e">
        <f t="shared" ca="1" si="11"/>
        <v>#VALUE!</v>
      </c>
      <c r="L45" t="e">
        <f t="shared" ca="1" si="12"/>
        <v>#VALUE!</v>
      </c>
      <c r="M45" t="e">
        <f t="shared" ca="1" si="7"/>
        <v>#VALUE!</v>
      </c>
      <c r="N45" s="22" t="e">
        <f t="shared" ca="1" si="13"/>
        <v>#VALUE!</v>
      </c>
      <c r="O45" t="e">
        <f t="shared" ca="1" si="14"/>
        <v>#VALUE!</v>
      </c>
      <c r="P45" s="18" t="e">
        <f t="shared" ca="1" si="15"/>
        <v>#VALUE!</v>
      </c>
      <c r="Q45" s="18" t="e">
        <f t="shared" ca="1" si="22"/>
        <v>#VALUE!</v>
      </c>
      <c r="R45" s="19" t="e">
        <f t="shared" ca="1" si="16"/>
        <v>#VALUE!</v>
      </c>
      <c r="S45" s="10" t="e">
        <f t="shared" ca="1" si="17"/>
        <v>#VALUE!</v>
      </c>
      <c r="T45" s="10" t="e">
        <f t="shared" ca="1" si="18"/>
        <v>#VALUE!</v>
      </c>
      <c r="U45" s="45" t="e">
        <f t="shared" ca="1" si="19"/>
        <v>#VALUE!</v>
      </c>
      <c r="V45" s="180" t="e">
        <f ca="1">Q45*1000000000/($B$22*'1a. Spredningsmodell input'!$C$26*1000)</f>
        <v>#VALUE!</v>
      </c>
      <c r="W45" s="44" t="e">
        <f t="shared" ca="1" si="8"/>
        <v>#VALUE!</v>
      </c>
      <c r="X45" s="167" t="e">
        <f t="shared" ca="1" si="9"/>
        <v>#VALUE!</v>
      </c>
      <c r="Y45" s="102" t="e">
        <f ca="1">(U45/1000000)*('1a. Spredningsmodell input'!$B$49)*'1a. Spredningsmodell input'!$C$35</f>
        <v>#VALUE!</v>
      </c>
      <c r="Z45" s="37" t="e">
        <f ca="1">(V45/1000000)*('1a. Spredningsmodell input'!$B$49)*'1a. Spredningsmodell input'!$C$35</f>
        <v>#VALUE!</v>
      </c>
      <c r="AA45" s="37" t="e">
        <f t="shared" ca="1" si="10"/>
        <v>#VALUE!</v>
      </c>
      <c r="AB45" s="1" t="e">
        <f t="shared" ca="1" si="20"/>
        <v>#VALUE!</v>
      </c>
      <c r="AC45" s="37" t="e">
        <f t="shared" ca="1" si="21"/>
        <v>#VALUE!</v>
      </c>
      <c r="AD45"/>
      <c r="AG45" s="45"/>
      <c r="AH45" s="1"/>
      <c r="AI45" s="22"/>
      <c r="AL45"/>
    </row>
    <row r="46" spans="1:38" x14ac:dyDescent="0.35">
      <c r="A46" t="s">
        <v>65</v>
      </c>
      <c r="B46" s="18">
        <f ca="1">LN(2)/(B40+B42)</f>
        <v>0.69314718055994529</v>
      </c>
      <c r="C46" t="s">
        <v>5</v>
      </c>
      <c r="D46" s="18"/>
      <c r="E46" s="18"/>
      <c r="F46" s="18"/>
      <c r="G46">
        <v>135</v>
      </c>
      <c r="H46">
        <f>'1a. Spredningsmodell input'!$I$2+G46</f>
        <v>135</v>
      </c>
      <c r="I46" t="e">
        <f t="shared" ca="1" si="5"/>
        <v>#VALUE!</v>
      </c>
      <c r="J46" t="e">
        <f t="shared" ca="1" si="6"/>
        <v>#VALUE!</v>
      </c>
      <c r="K46" t="e">
        <f t="shared" ca="1" si="11"/>
        <v>#VALUE!</v>
      </c>
      <c r="L46" t="e">
        <f t="shared" ca="1" si="12"/>
        <v>#VALUE!</v>
      </c>
      <c r="M46" t="e">
        <f t="shared" ca="1" si="7"/>
        <v>#VALUE!</v>
      </c>
      <c r="N46" s="22" t="e">
        <f t="shared" ca="1" si="13"/>
        <v>#VALUE!</v>
      </c>
      <c r="O46" t="e">
        <f t="shared" ca="1" si="14"/>
        <v>#VALUE!</v>
      </c>
      <c r="P46" s="18" t="e">
        <f t="shared" ca="1" si="15"/>
        <v>#VALUE!</v>
      </c>
      <c r="Q46" s="18" t="e">
        <f t="shared" ca="1" si="22"/>
        <v>#VALUE!</v>
      </c>
      <c r="R46" s="19" t="e">
        <f t="shared" ca="1" si="16"/>
        <v>#VALUE!</v>
      </c>
      <c r="S46" s="10" t="e">
        <f t="shared" ca="1" si="17"/>
        <v>#VALUE!</v>
      </c>
      <c r="T46" s="10" t="e">
        <f t="shared" ca="1" si="18"/>
        <v>#VALUE!</v>
      </c>
      <c r="U46" s="45" t="e">
        <f t="shared" ca="1" si="19"/>
        <v>#VALUE!</v>
      </c>
      <c r="V46" s="180" t="e">
        <f ca="1">Q46*1000000000/($B$22*'1a. Spredningsmodell input'!$C$26*1000)</f>
        <v>#VALUE!</v>
      </c>
      <c r="W46" s="44" t="e">
        <f t="shared" ca="1" si="8"/>
        <v>#VALUE!</v>
      </c>
      <c r="X46" s="167" t="e">
        <f t="shared" ca="1" si="9"/>
        <v>#VALUE!</v>
      </c>
      <c r="Y46" s="102" t="e">
        <f ca="1">(U46/1000000)*('1a. Spredningsmodell input'!$B$49)*'1a. Spredningsmodell input'!$C$35</f>
        <v>#VALUE!</v>
      </c>
      <c r="Z46" s="37" t="e">
        <f ca="1">(V46/1000000)*('1a. Spredningsmodell input'!$B$49)*'1a. Spredningsmodell input'!$C$35</f>
        <v>#VALUE!</v>
      </c>
      <c r="AA46" s="37" t="e">
        <f t="shared" ca="1" si="10"/>
        <v>#VALUE!</v>
      </c>
      <c r="AB46" s="1" t="e">
        <f t="shared" ca="1" si="20"/>
        <v>#VALUE!</v>
      </c>
      <c r="AC46" s="37" t="e">
        <f t="shared" ca="1" si="21"/>
        <v>#VALUE!</v>
      </c>
      <c r="AD46"/>
      <c r="AG46" s="45"/>
      <c r="AH46" s="1"/>
      <c r="AI46" s="22"/>
      <c r="AL46"/>
    </row>
    <row r="47" spans="1:38" x14ac:dyDescent="0.35">
      <c r="A47" t="s">
        <v>47</v>
      </c>
      <c r="B47" s="2" t="e">
        <f ca="1">1000000000*(B18+B20+B19)/(B23*1000)</f>
        <v>#VALUE!</v>
      </c>
      <c r="C47" t="s">
        <v>4</v>
      </c>
      <c r="D47" s="2"/>
      <c r="E47" s="2"/>
      <c r="F47" s="2"/>
      <c r="G47">
        <v>140</v>
      </c>
      <c r="H47">
        <f>'1a. Spredningsmodell input'!$I$2+G47</f>
        <v>140</v>
      </c>
      <c r="I47" t="e">
        <f t="shared" ca="1" si="5"/>
        <v>#VALUE!</v>
      </c>
      <c r="J47" t="e">
        <f t="shared" ca="1" si="6"/>
        <v>#VALUE!</v>
      </c>
      <c r="K47" t="e">
        <f t="shared" ca="1" si="11"/>
        <v>#VALUE!</v>
      </c>
      <c r="L47" t="e">
        <f t="shared" ca="1" si="12"/>
        <v>#VALUE!</v>
      </c>
      <c r="M47" t="e">
        <f t="shared" ca="1" si="7"/>
        <v>#VALUE!</v>
      </c>
      <c r="N47" s="22" t="e">
        <f t="shared" ca="1" si="13"/>
        <v>#VALUE!</v>
      </c>
      <c r="O47" t="e">
        <f t="shared" ca="1" si="14"/>
        <v>#VALUE!</v>
      </c>
      <c r="P47" s="18" t="e">
        <f t="shared" ca="1" si="15"/>
        <v>#VALUE!</v>
      </c>
      <c r="Q47" s="18" t="e">
        <f t="shared" ca="1" si="22"/>
        <v>#VALUE!</v>
      </c>
      <c r="R47" s="19" t="e">
        <f t="shared" ca="1" si="16"/>
        <v>#VALUE!</v>
      </c>
      <c r="S47" s="10" t="e">
        <f t="shared" ca="1" si="17"/>
        <v>#VALUE!</v>
      </c>
      <c r="T47" s="10" t="e">
        <f t="shared" ca="1" si="18"/>
        <v>#VALUE!</v>
      </c>
      <c r="U47" s="45" t="e">
        <f t="shared" ca="1" si="19"/>
        <v>#VALUE!</v>
      </c>
      <c r="V47" s="180" t="e">
        <f ca="1">Q47*1000000000/($B$22*'1a. Spredningsmodell input'!$C$26*1000)</f>
        <v>#VALUE!</v>
      </c>
      <c r="W47" s="44" t="e">
        <f t="shared" ca="1" si="8"/>
        <v>#VALUE!</v>
      </c>
      <c r="X47" s="167" t="e">
        <f t="shared" ca="1" si="9"/>
        <v>#VALUE!</v>
      </c>
      <c r="Y47" s="102" t="e">
        <f ca="1">(U47/1000000)*('1a. Spredningsmodell input'!$B$49)*'1a. Spredningsmodell input'!$C$35</f>
        <v>#VALUE!</v>
      </c>
      <c r="Z47" s="37" t="e">
        <f ca="1">(V47/1000000)*('1a. Spredningsmodell input'!$B$49)*'1a. Spredningsmodell input'!$C$35</f>
        <v>#VALUE!</v>
      </c>
      <c r="AA47" s="37" t="e">
        <f t="shared" ca="1" si="10"/>
        <v>#VALUE!</v>
      </c>
      <c r="AB47" s="1" t="e">
        <f t="shared" ca="1" si="20"/>
        <v>#VALUE!</v>
      </c>
      <c r="AC47" s="37" t="e">
        <f t="shared" ca="1" si="21"/>
        <v>#VALUE!</v>
      </c>
      <c r="AD47"/>
      <c r="AG47" s="45"/>
      <c r="AH47" s="1"/>
      <c r="AI47" s="22"/>
      <c r="AL47"/>
    </row>
    <row r="48" spans="1:38" x14ac:dyDescent="0.35">
      <c r="A48" t="s">
        <v>46</v>
      </c>
      <c r="B48" s="2" t="e">
        <f ca="1">MAXA(AC19:AC121)</f>
        <v>#VALUE!</v>
      </c>
      <c r="C48" t="s">
        <v>4</v>
      </c>
      <c r="D48" s="2"/>
      <c r="E48" s="2"/>
      <c r="F48" s="2"/>
      <c r="G48">
        <v>145</v>
      </c>
      <c r="H48">
        <f>'1a. Spredningsmodell input'!$I$2+G48</f>
        <v>145</v>
      </c>
      <c r="I48" t="e">
        <f t="shared" ca="1" si="5"/>
        <v>#VALUE!</v>
      </c>
      <c r="J48" t="e">
        <f t="shared" ca="1" si="6"/>
        <v>#VALUE!</v>
      </c>
      <c r="K48" t="e">
        <f t="shared" ca="1" si="11"/>
        <v>#VALUE!</v>
      </c>
      <c r="L48" t="e">
        <f t="shared" ca="1" si="12"/>
        <v>#VALUE!</v>
      </c>
      <c r="M48" t="e">
        <f t="shared" ca="1" si="7"/>
        <v>#VALUE!</v>
      </c>
      <c r="N48" s="22" t="e">
        <f t="shared" ca="1" si="13"/>
        <v>#VALUE!</v>
      </c>
      <c r="O48" t="e">
        <f t="shared" ca="1" si="14"/>
        <v>#VALUE!</v>
      </c>
      <c r="P48" s="18" t="e">
        <f t="shared" ca="1" si="15"/>
        <v>#VALUE!</v>
      </c>
      <c r="Q48" s="18" t="e">
        <f t="shared" ca="1" si="22"/>
        <v>#VALUE!</v>
      </c>
      <c r="R48" s="19" t="e">
        <f t="shared" ca="1" si="16"/>
        <v>#VALUE!</v>
      </c>
      <c r="S48" s="10" t="e">
        <f t="shared" ca="1" si="17"/>
        <v>#VALUE!</v>
      </c>
      <c r="T48" s="10" t="e">
        <f t="shared" ca="1" si="18"/>
        <v>#VALUE!</v>
      </c>
      <c r="U48" s="45" t="e">
        <f t="shared" ca="1" si="19"/>
        <v>#VALUE!</v>
      </c>
      <c r="V48" s="180" t="e">
        <f ca="1">Q48*1000000000/($B$22*'1a. Spredningsmodell input'!$C$26*1000)</f>
        <v>#VALUE!</v>
      </c>
      <c r="W48" s="44" t="e">
        <f t="shared" ca="1" si="8"/>
        <v>#VALUE!</v>
      </c>
      <c r="X48" s="167" t="e">
        <f t="shared" ca="1" si="9"/>
        <v>#VALUE!</v>
      </c>
      <c r="Y48" s="102" t="e">
        <f ca="1">(U48/1000000)*('1a. Spredningsmodell input'!$B$49)*'1a. Spredningsmodell input'!$C$35</f>
        <v>#VALUE!</v>
      </c>
      <c r="Z48" s="37" t="e">
        <f ca="1">(V48/1000000)*('1a. Spredningsmodell input'!$B$49)*'1a. Spredningsmodell input'!$C$35</f>
        <v>#VALUE!</v>
      </c>
      <c r="AA48" s="37" t="e">
        <f t="shared" ca="1" si="10"/>
        <v>#VALUE!</v>
      </c>
      <c r="AB48" s="1" t="e">
        <f t="shared" ca="1" si="20"/>
        <v>#VALUE!</v>
      </c>
      <c r="AC48" s="37" t="e">
        <f t="shared" ca="1" si="21"/>
        <v>#VALUE!</v>
      </c>
      <c r="AD48"/>
      <c r="AG48" s="45"/>
      <c r="AH48" s="1"/>
      <c r="AI48" s="22"/>
      <c r="AL48"/>
    </row>
    <row r="49" spans="1:38" x14ac:dyDescent="0.35">
      <c r="A49" s="39" t="s">
        <v>8</v>
      </c>
      <c r="B49" s="39"/>
      <c r="D49" s="39"/>
      <c r="E49" s="39"/>
      <c r="F49" s="39"/>
      <c r="G49">
        <v>150</v>
      </c>
      <c r="H49">
        <f>'1a. Spredningsmodell input'!$I$2+G49</f>
        <v>150</v>
      </c>
      <c r="I49" t="e">
        <f t="shared" ca="1" si="5"/>
        <v>#VALUE!</v>
      </c>
      <c r="J49" t="e">
        <f t="shared" ca="1" si="6"/>
        <v>#VALUE!</v>
      </c>
      <c r="K49" t="e">
        <f t="shared" ca="1" si="11"/>
        <v>#VALUE!</v>
      </c>
      <c r="L49" t="e">
        <f t="shared" ca="1" si="12"/>
        <v>#VALUE!</v>
      </c>
      <c r="M49" t="e">
        <f t="shared" ca="1" si="7"/>
        <v>#VALUE!</v>
      </c>
      <c r="N49" s="22" t="e">
        <f t="shared" ca="1" si="13"/>
        <v>#VALUE!</v>
      </c>
      <c r="O49" t="e">
        <f t="shared" ca="1" si="14"/>
        <v>#VALUE!</v>
      </c>
      <c r="P49" s="18" t="e">
        <f t="shared" ca="1" si="15"/>
        <v>#VALUE!</v>
      </c>
      <c r="Q49" s="18" t="e">
        <f t="shared" ca="1" si="22"/>
        <v>#VALUE!</v>
      </c>
      <c r="R49" s="19" t="e">
        <f t="shared" ca="1" si="16"/>
        <v>#VALUE!</v>
      </c>
      <c r="S49" s="10" t="e">
        <f t="shared" ca="1" si="17"/>
        <v>#VALUE!</v>
      </c>
      <c r="T49" s="10" t="e">
        <f t="shared" ca="1" si="18"/>
        <v>#VALUE!</v>
      </c>
      <c r="U49" s="45" t="e">
        <f t="shared" ca="1" si="19"/>
        <v>#VALUE!</v>
      </c>
      <c r="V49" s="180" t="e">
        <f ca="1">Q49*1000000000/($B$22*'1a. Spredningsmodell input'!$C$26*1000)</f>
        <v>#VALUE!</v>
      </c>
      <c r="W49" s="44" t="e">
        <f t="shared" ca="1" si="8"/>
        <v>#VALUE!</v>
      </c>
      <c r="X49" s="167" t="e">
        <f t="shared" ca="1" si="9"/>
        <v>#VALUE!</v>
      </c>
      <c r="Y49" s="102" t="e">
        <f ca="1">(U49/1000000)*('1a. Spredningsmodell input'!$B$49)*'1a. Spredningsmodell input'!$C$35</f>
        <v>#VALUE!</v>
      </c>
      <c r="Z49" s="37" t="e">
        <f ca="1">(V49/1000000)*('1a. Spredningsmodell input'!$B$49)*'1a. Spredningsmodell input'!$C$35</f>
        <v>#VALUE!</v>
      </c>
      <c r="AA49" s="37" t="e">
        <f t="shared" ca="1" si="10"/>
        <v>#VALUE!</v>
      </c>
      <c r="AB49" s="1" t="e">
        <f t="shared" ca="1" si="20"/>
        <v>#VALUE!</v>
      </c>
      <c r="AC49" s="37" t="e">
        <f t="shared" ca="1" si="21"/>
        <v>#VALUE!</v>
      </c>
      <c r="AD49"/>
      <c r="AG49" s="45"/>
      <c r="AH49" s="1"/>
      <c r="AI49" s="22"/>
      <c r="AL49"/>
    </row>
    <row r="50" spans="1:38" x14ac:dyDescent="0.35">
      <c r="A50" s="10" t="s">
        <v>551</v>
      </c>
      <c r="B50" s="18">
        <f>'1a. Spredningsmodell input'!C35</f>
        <v>1</v>
      </c>
      <c r="C50" t="s">
        <v>5</v>
      </c>
      <c r="D50" s="18"/>
      <c r="E50" s="18"/>
      <c r="F50" s="18"/>
      <c r="G50">
        <v>155</v>
      </c>
      <c r="H50">
        <f>'1a. Spredningsmodell input'!$I$2+G50</f>
        <v>155</v>
      </c>
      <c r="I50" t="e">
        <f t="shared" ca="1" si="5"/>
        <v>#VALUE!</v>
      </c>
      <c r="J50" t="e">
        <f t="shared" ca="1" si="6"/>
        <v>#VALUE!</v>
      </c>
      <c r="K50" t="e">
        <f t="shared" ca="1" si="11"/>
        <v>#VALUE!</v>
      </c>
      <c r="L50" t="e">
        <f t="shared" ca="1" si="12"/>
        <v>#VALUE!</v>
      </c>
      <c r="M50" t="e">
        <f t="shared" ca="1" si="7"/>
        <v>#VALUE!</v>
      </c>
      <c r="N50" s="22" t="e">
        <f t="shared" ca="1" si="13"/>
        <v>#VALUE!</v>
      </c>
      <c r="O50" t="e">
        <f t="shared" ca="1" si="14"/>
        <v>#VALUE!</v>
      </c>
      <c r="P50" s="18" t="e">
        <f t="shared" ca="1" si="15"/>
        <v>#VALUE!</v>
      </c>
      <c r="Q50" s="18" t="e">
        <f t="shared" ca="1" si="22"/>
        <v>#VALUE!</v>
      </c>
      <c r="R50" s="19" t="e">
        <f t="shared" ca="1" si="16"/>
        <v>#VALUE!</v>
      </c>
      <c r="S50" s="10" t="e">
        <f t="shared" ca="1" si="17"/>
        <v>#VALUE!</v>
      </c>
      <c r="T50" s="10" t="e">
        <f t="shared" ca="1" si="18"/>
        <v>#VALUE!</v>
      </c>
      <c r="U50" s="45" t="e">
        <f t="shared" ca="1" si="19"/>
        <v>#VALUE!</v>
      </c>
      <c r="V50" s="180" t="e">
        <f ca="1">Q50*1000000000/($B$22*'1a. Spredningsmodell input'!$C$26*1000)</f>
        <v>#VALUE!</v>
      </c>
      <c r="W50" s="44" t="e">
        <f t="shared" ca="1" si="8"/>
        <v>#VALUE!</v>
      </c>
      <c r="X50" s="167" t="e">
        <f t="shared" ca="1" si="9"/>
        <v>#VALUE!</v>
      </c>
      <c r="Y50" s="102" t="e">
        <f ca="1">(U50/1000000)*('1a. Spredningsmodell input'!$B$49)*'1a. Spredningsmodell input'!$C$35</f>
        <v>#VALUE!</v>
      </c>
      <c r="Z50" s="37" t="e">
        <f ca="1">(V50/1000000)*('1a. Spredningsmodell input'!$B$49)*'1a. Spredningsmodell input'!$C$35</f>
        <v>#VALUE!</v>
      </c>
      <c r="AA50" s="37" t="e">
        <f t="shared" ca="1" si="10"/>
        <v>#VALUE!</v>
      </c>
      <c r="AB50" s="1" t="e">
        <f t="shared" ca="1" si="20"/>
        <v>#VALUE!</v>
      </c>
      <c r="AC50" s="37" t="e">
        <f t="shared" ca="1" si="21"/>
        <v>#VALUE!</v>
      </c>
      <c r="AD50"/>
      <c r="AG50" s="45"/>
      <c r="AH50" s="1"/>
      <c r="AI50" s="22"/>
      <c r="AL50"/>
    </row>
    <row r="51" spans="1:38" x14ac:dyDescent="0.35">
      <c r="G51">
        <v>160</v>
      </c>
      <c r="H51">
        <f>'1a. Spredningsmodell input'!$I$2+G51</f>
        <v>160</v>
      </c>
      <c r="I51" t="e">
        <f t="shared" ca="1" si="5"/>
        <v>#VALUE!</v>
      </c>
      <c r="J51" t="e">
        <f t="shared" ca="1" si="6"/>
        <v>#VALUE!</v>
      </c>
      <c r="K51" t="e">
        <f t="shared" ca="1" si="11"/>
        <v>#VALUE!</v>
      </c>
      <c r="L51" t="e">
        <f t="shared" ca="1" si="12"/>
        <v>#VALUE!</v>
      </c>
      <c r="M51" t="e">
        <f t="shared" ca="1" si="7"/>
        <v>#VALUE!</v>
      </c>
      <c r="N51" s="22" t="e">
        <f t="shared" ca="1" si="13"/>
        <v>#VALUE!</v>
      </c>
      <c r="O51" t="e">
        <f t="shared" ca="1" si="14"/>
        <v>#VALUE!</v>
      </c>
      <c r="P51" s="18" t="e">
        <f t="shared" ca="1" si="15"/>
        <v>#VALUE!</v>
      </c>
      <c r="Q51" s="18" t="e">
        <f t="shared" ca="1" si="22"/>
        <v>#VALUE!</v>
      </c>
      <c r="R51" s="19" t="e">
        <f t="shared" ca="1" si="16"/>
        <v>#VALUE!</v>
      </c>
      <c r="S51" s="10" t="e">
        <f t="shared" ca="1" si="17"/>
        <v>#VALUE!</v>
      </c>
      <c r="T51" s="10" t="e">
        <f t="shared" ca="1" si="18"/>
        <v>#VALUE!</v>
      </c>
      <c r="U51" s="45" t="e">
        <f t="shared" ca="1" si="19"/>
        <v>#VALUE!</v>
      </c>
      <c r="V51" s="180" t="e">
        <f ca="1">Q51*1000000000/($B$22*'1a. Spredningsmodell input'!$C$26*1000)</f>
        <v>#VALUE!</v>
      </c>
      <c r="W51" s="44" t="e">
        <f t="shared" ca="1" si="8"/>
        <v>#VALUE!</v>
      </c>
      <c r="X51" s="167" t="e">
        <f t="shared" ca="1" si="9"/>
        <v>#VALUE!</v>
      </c>
      <c r="Y51" s="102" t="e">
        <f ca="1">(U51/1000000)*('1a. Spredningsmodell input'!$B$49)*'1a. Spredningsmodell input'!$C$35</f>
        <v>#VALUE!</v>
      </c>
      <c r="Z51" s="37" t="e">
        <f ca="1">(V51/1000000)*('1a. Spredningsmodell input'!$B$49)*'1a. Spredningsmodell input'!$C$35</f>
        <v>#VALUE!</v>
      </c>
      <c r="AA51" s="37" t="e">
        <f t="shared" ca="1" si="10"/>
        <v>#VALUE!</v>
      </c>
      <c r="AB51" s="1" t="e">
        <f t="shared" ca="1" si="20"/>
        <v>#VALUE!</v>
      </c>
      <c r="AC51" s="37" t="e">
        <f t="shared" ca="1" si="21"/>
        <v>#VALUE!</v>
      </c>
      <c r="AD51"/>
      <c r="AG51" s="45"/>
      <c r="AH51" s="1"/>
      <c r="AI51" s="22"/>
      <c r="AL51"/>
    </row>
    <row r="52" spans="1:38" x14ac:dyDescent="0.35">
      <c r="G52">
        <v>165</v>
      </c>
      <c r="H52">
        <f>'1a. Spredningsmodell input'!$I$2+G52</f>
        <v>165</v>
      </c>
      <c r="I52" t="e">
        <f t="shared" ca="1" si="5"/>
        <v>#VALUE!</v>
      </c>
      <c r="J52" t="e">
        <f t="shared" ca="1" si="6"/>
        <v>#VALUE!</v>
      </c>
      <c r="K52" t="e">
        <f t="shared" ca="1" si="11"/>
        <v>#VALUE!</v>
      </c>
      <c r="L52" t="e">
        <f t="shared" ca="1" si="12"/>
        <v>#VALUE!</v>
      </c>
      <c r="M52" t="e">
        <f t="shared" ca="1" si="7"/>
        <v>#VALUE!</v>
      </c>
      <c r="N52" s="22" t="e">
        <f t="shared" ca="1" si="13"/>
        <v>#VALUE!</v>
      </c>
      <c r="O52" t="e">
        <f t="shared" ca="1" si="14"/>
        <v>#VALUE!</v>
      </c>
      <c r="P52" s="18" t="e">
        <f t="shared" ca="1" si="15"/>
        <v>#VALUE!</v>
      </c>
      <c r="Q52" s="18" t="e">
        <f t="shared" ca="1" si="22"/>
        <v>#VALUE!</v>
      </c>
      <c r="R52" s="19" t="e">
        <f t="shared" ca="1" si="16"/>
        <v>#VALUE!</v>
      </c>
      <c r="S52" s="10" t="e">
        <f t="shared" ca="1" si="17"/>
        <v>#VALUE!</v>
      </c>
      <c r="T52" s="10" t="e">
        <f t="shared" ca="1" si="18"/>
        <v>#VALUE!</v>
      </c>
      <c r="U52" s="45" t="e">
        <f t="shared" ca="1" si="19"/>
        <v>#VALUE!</v>
      </c>
      <c r="V52" s="180" t="e">
        <f ca="1">Q52*1000000000/($B$22*'1a. Spredningsmodell input'!$C$26*1000)</f>
        <v>#VALUE!</v>
      </c>
      <c r="W52" s="44" t="e">
        <f t="shared" ca="1" si="8"/>
        <v>#VALUE!</v>
      </c>
      <c r="X52" s="167" t="e">
        <f t="shared" ca="1" si="9"/>
        <v>#VALUE!</v>
      </c>
      <c r="Y52" s="102" t="e">
        <f ca="1">(U52/1000000)*('1a. Spredningsmodell input'!$B$49)*'1a. Spredningsmodell input'!$C$35</f>
        <v>#VALUE!</v>
      </c>
      <c r="Z52" s="37" t="e">
        <f ca="1">(V52/1000000)*('1a. Spredningsmodell input'!$B$49)*'1a. Spredningsmodell input'!$C$35</f>
        <v>#VALUE!</v>
      </c>
      <c r="AA52" s="37" t="e">
        <f t="shared" ca="1" si="10"/>
        <v>#VALUE!</v>
      </c>
      <c r="AB52" s="1" t="e">
        <f t="shared" ca="1" si="20"/>
        <v>#VALUE!</v>
      </c>
      <c r="AC52" s="37" t="e">
        <f t="shared" ca="1" si="21"/>
        <v>#VALUE!</v>
      </c>
      <c r="AD52"/>
      <c r="AG52" s="45"/>
      <c r="AH52" s="1"/>
      <c r="AI52" s="22"/>
      <c r="AL52"/>
    </row>
    <row r="53" spans="1:38" x14ac:dyDescent="0.35">
      <c r="D53" t="s">
        <v>69</v>
      </c>
      <c r="G53">
        <v>170</v>
      </c>
      <c r="H53">
        <f>'1a. Spredningsmodell input'!$I$2+G53</f>
        <v>170</v>
      </c>
      <c r="I53" t="e">
        <f t="shared" ca="1" si="5"/>
        <v>#VALUE!</v>
      </c>
      <c r="J53" t="e">
        <f t="shared" ca="1" si="6"/>
        <v>#VALUE!</v>
      </c>
      <c r="K53" t="e">
        <f t="shared" ca="1" si="11"/>
        <v>#VALUE!</v>
      </c>
      <c r="L53" t="e">
        <f t="shared" ca="1" si="12"/>
        <v>#VALUE!</v>
      </c>
      <c r="M53" t="e">
        <f t="shared" ca="1" si="7"/>
        <v>#VALUE!</v>
      </c>
      <c r="N53" s="22" t="e">
        <f t="shared" ca="1" si="13"/>
        <v>#VALUE!</v>
      </c>
      <c r="O53" t="e">
        <f t="shared" ca="1" si="14"/>
        <v>#VALUE!</v>
      </c>
      <c r="P53" s="18" t="e">
        <f t="shared" ca="1" si="15"/>
        <v>#VALUE!</v>
      </c>
      <c r="Q53" s="18" t="e">
        <f t="shared" ca="1" si="22"/>
        <v>#VALUE!</v>
      </c>
      <c r="R53" s="19" t="e">
        <f t="shared" ca="1" si="16"/>
        <v>#VALUE!</v>
      </c>
      <c r="S53" s="10" t="e">
        <f t="shared" ca="1" si="17"/>
        <v>#VALUE!</v>
      </c>
      <c r="T53" s="10" t="e">
        <f t="shared" ca="1" si="18"/>
        <v>#VALUE!</v>
      </c>
      <c r="U53" s="45" t="e">
        <f t="shared" ca="1" si="19"/>
        <v>#VALUE!</v>
      </c>
      <c r="V53" s="180" t="e">
        <f ca="1">Q53*1000000000/($B$22*'1a. Spredningsmodell input'!$C$26*1000)</f>
        <v>#VALUE!</v>
      </c>
      <c r="W53" s="44" t="e">
        <f t="shared" ca="1" si="8"/>
        <v>#VALUE!</v>
      </c>
      <c r="X53" s="167" t="e">
        <f t="shared" ca="1" si="9"/>
        <v>#VALUE!</v>
      </c>
      <c r="Y53" s="102" t="e">
        <f ca="1">(U53/1000000)*('1a. Spredningsmodell input'!$B$49)*'1a. Spredningsmodell input'!$C$35</f>
        <v>#VALUE!</v>
      </c>
      <c r="Z53" s="37" t="e">
        <f ca="1">(V53/1000000)*('1a. Spredningsmodell input'!$B$49)*'1a. Spredningsmodell input'!$C$35</f>
        <v>#VALUE!</v>
      </c>
      <c r="AA53" s="37" t="e">
        <f t="shared" ca="1" si="10"/>
        <v>#VALUE!</v>
      </c>
      <c r="AB53" s="1" t="e">
        <f t="shared" ca="1" si="20"/>
        <v>#VALUE!</v>
      </c>
      <c r="AC53" s="37" t="e">
        <f t="shared" ca="1" si="21"/>
        <v>#VALUE!</v>
      </c>
      <c r="AD53"/>
      <c r="AG53" s="45"/>
      <c r="AH53" s="1"/>
      <c r="AI53" s="22"/>
      <c r="AL53"/>
    </row>
    <row r="54" spans="1:38" x14ac:dyDescent="0.35">
      <c r="A54" t="s">
        <v>552</v>
      </c>
      <c r="B54" t="s">
        <v>68</v>
      </c>
      <c r="C54">
        <f ca="1">INDIRECT(ADDRESS($B$11,6,,,"Stoff"))</f>
        <v>8</v>
      </c>
      <c r="D54">
        <v>0</v>
      </c>
      <c r="G54">
        <v>175</v>
      </c>
      <c r="H54">
        <f>'1a. Spredningsmodell input'!$I$2+G54</f>
        <v>175</v>
      </c>
      <c r="I54" t="e">
        <f t="shared" ca="1" si="5"/>
        <v>#VALUE!</v>
      </c>
      <c r="J54" t="e">
        <f t="shared" ca="1" si="6"/>
        <v>#VALUE!</v>
      </c>
      <c r="K54" t="e">
        <f t="shared" ca="1" si="11"/>
        <v>#VALUE!</v>
      </c>
      <c r="L54" t="e">
        <f t="shared" ca="1" si="12"/>
        <v>#VALUE!</v>
      </c>
      <c r="M54" t="e">
        <f t="shared" ca="1" si="7"/>
        <v>#VALUE!</v>
      </c>
      <c r="N54" s="22" t="e">
        <f t="shared" ca="1" si="13"/>
        <v>#VALUE!</v>
      </c>
      <c r="O54" t="e">
        <f t="shared" ca="1" si="14"/>
        <v>#VALUE!</v>
      </c>
      <c r="P54" s="18" t="e">
        <f t="shared" ca="1" si="15"/>
        <v>#VALUE!</v>
      </c>
      <c r="Q54" s="18" t="e">
        <f t="shared" ca="1" si="22"/>
        <v>#VALUE!</v>
      </c>
      <c r="R54" s="19" t="e">
        <f t="shared" ca="1" si="16"/>
        <v>#VALUE!</v>
      </c>
      <c r="S54" s="10" t="e">
        <f t="shared" ca="1" si="17"/>
        <v>#VALUE!</v>
      </c>
      <c r="T54" s="10" t="e">
        <f t="shared" ca="1" si="18"/>
        <v>#VALUE!</v>
      </c>
      <c r="U54" s="45" t="e">
        <f t="shared" ca="1" si="19"/>
        <v>#VALUE!</v>
      </c>
      <c r="V54" s="180" t="e">
        <f ca="1">Q54*1000000000/($B$22*'1a. Spredningsmodell input'!$C$26*1000)</f>
        <v>#VALUE!</v>
      </c>
      <c r="W54" s="44" t="e">
        <f t="shared" ca="1" si="8"/>
        <v>#VALUE!</v>
      </c>
      <c r="X54" s="167" t="e">
        <f t="shared" ca="1" si="9"/>
        <v>#VALUE!</v>
      </c>
      <c r="Y54" s="102" t="e">
        <f ca="1">(U54/1000000)*('1a. Spredningsmodell input'!$B$49)*'1a. Spredningsmodell input'!$C$35</f>
        <v>#VALUE!</v>
      </c>
      <c r="Z54" s="37" t="e">
        <f ca="1">(V54/1000000)*('1a. Spredningsmodell input'!$B$49)*'1a. Spredningsmodell input'!$C$35</f>
        <v>#VALUE!</v>
      </c>
      <c r="AA54" s="37" t="e">
        <f t="shared" ca="1" si="10"/>
        <v>#VALUE!</v>
      </c>
      <c r="AB54" s="1" t="e">
        <f t="shared" ca="1" si="20"/>
        <v>#VALUE!</v>
      </c>
      <c r="AC54" s="37" t="e">
        <f t="shared" ca="1" si="21"/>
        <v>#VALUE!</v>
      </c>
      <c r="AD54"/>
      <c r="AG54" s="45"/>
      <c r="AH54" s="1"/>
      <c r="AI54" s="22"/>
      <c r="AL54"/>
    </row>
    <row r="55" spans="1:38" x14ac:dyDescent="0.35">
      <c r="C55">
        <f ca="1">C54</f>
        <v>8</v>
      </c>
      <c r="D55">
        <f>G219</f>
        <v>1000</v>
      </c>
      <c r="G55">
        <v>180</v>
      </c>
      <c r="H55">
        <f>'1a. Spredningsmodell input'!$I$2+G55</f>
        <v>180</v>
      </c>
      <c r="I55" t="e">
        <f t="shared" ca="1" si="5"/>
        <v>#VALUE!</v>
      </c>
      <c r="J55" t="e">
        <f t="shared" ca="1" si="6"/>
        <v>#VALUE!</v>
      </c>
      <c r="K55" t="e">
        <f t="shared" ca="1" si="11"/>
        <v>#VALUE!</v>
      </c>
      <c r="L55" t="e">
        <f t="shared" ca="1" si="12"/>
        <v>#VALUE!</v>
      </c>
      <c r="M55" t="e">
        <f t="shared" ca="1" si="7"/>
        <v>#VALUE!</v>
      </c>
      <c r="N55" s="22" t="e">
        <f t="shared" ca="1" si="13"/>
        <v>#VALUE!</v>
      </c>
      <c r="O55" t="e">
        <f t="shared" ca="1" si="14"/>
        <v>#VALUE!</v>
      </c>
      <c r="P55" s="18" t="e">
        <f t="shared" ca="1" si="15"/>
        <v>#VALUE!</v>
      </c>
      <c r="Q55" s="18" t="e">
        <f t="shared" ca="1" si="22"/>
        <v>#VALUE!</v>
      </c>
      <c r="R55" s="19" t="e">
        <f t="shared" ca="1" si="16"/>
        <v>#VALUE!</v>
      </c>
      <c r="S55" s="10" t="e">
        <f t="shared" ca="1" si="17"/>
        <v>#VALUE!</v>
      </c>
      <c r="T55" s="10" t="e">
        <f t="shared" ca="1" si="18"/>
        <v>#VALUE!</v>
      </c>
      <c r="U55" s="45" t="e">
        <f t="shared" ca="1" si="19"/>
        <v>#VALUE!</v>
      </c>
      <c r="V55" s="180" t="e">
        <f ca="1">Q55*1000000000/($B$22*'1a. Spredningsmodell input'!$C$26*1000)</f>
        <v>#VALUE!</v>
      </c>
      <c r="W55" s="44" t="e">
        <f t="shared" ca="1" si="8"/>
        <v>#VALUE!</v>
      </c>
      <c r="X55" s="167" t="e">
        <f t="shared" ca="1" si="9"/>
        <v>#VALUE!</v>
      </c>
      <c r="Y55" s="102" t="e">
        <f ca="1">(U55/1000000)*('1a. Spredningsmodell input'!$B$49)*'1a. Spredningsmodell input'!$C$35</f>
        <v>#VALUE!</v>
      </c>
      <c r="Z55" s="37" t="e">
        <f ca="1">(V55/1000000)*('1a. Spredningsmodell input'!$B$49)*'1a. Spredningsmodell input'!$C$35</f>
        <v>#VALUE!</v>
      </c>
      <c r="AA55" s="37" t="e">
        <f t="shared" ca="1" si="10"/>
        <v>#VALUE!</v>
      </c>
      <c r="AB55" s="1" t="e">
        <f t="shared" ca="1" si="20"/>
        <v>#VALUE!</v>
      </c>
      <c r="AC55" s="37" t="e">
        <f t="shared" ca="1" si="21"/>
        <v>#VALUE!</v>
      </c>
      <c r="AD55"/>
      <c r="AG55" s="45"/>
      <c r="AH55" s="1"/>
      <c r="AI55" s="22"/>
      <c r="AL55"/>
    </row>
    <row r="56" spans="1:38" x14ac:dyDescent="0.35">
      <c r="G56">
        <v>185</v>
      </c>
      <c r="H56">
        <f>'1a. Spredningsmodell input'!$I$2+G56</f>
        <v>185</v>
      </c>
      <c r="I56" t="e">
        <f t="shared" ca="1" si="5"/>
        <v>#VALUE!</v>
      </c>
      <c r="J56" t="e">
        <f t="shared" ca="1" si="6"/>
        <v>#VALUE!</v>
      </c>
      <c r="K56" t="e">
        <f t="shared" ca="1" si="11"/>
        <v>#VALUE!</v>
      </c>
      <c r="L56" t="e">
        <f t="shared" ca="1" si="12"/>
        <v>#VALUE!</v>
      </c>
      <c r="M56" t="e">
        <f t="shared" ca="1" si="7"/>
        <v>#VALUE!</v>
      </c>
      <c r="N56" s="22" t="e">
        <f t="shared" ca="1" si="13"/>
        <v>#VALUE!</v>
      </c>
      <c r="O56" t="e">
        <f t="shared" ca="1" si="14"/>
        <v>#VALUE!</v>
      </c>
      <c r="P56" s="18" t="e">
        <f t="shared" ca="1" si="15"/>
        <v>#VALUE!</v>
      </c>
      <c r="Q56" s="18" t="e">
        <f t="shared" ca="1" si="22"/>
        <v>#VALUE!</v>
      </c>
      <c r="R56" s="19" t="e">
        <f t="shared" ca="1" si="16"/>
        <v>#VALUE!</v>
      </c>
      <c r="S56" s="10" t="e">
        <f t="shared" ca="1" si="17"/>
        <v>#VALUE!</v>
      </c>
      <c r="T56" s="10" t="e">
        <f t="shared" ca="1" si="18"/>
        <v>#VALUE!</v>
      </c>
      <c r="U56" s="45" t="e">
        <f t="shared" ca="1" si="19"/>
        <v>#VALUE!</v>
      </c>
      <c r="V56" s="180" t="e">
        <f ca="1">Q56*1000000000/($B$22*'1a. Spredningsmodell input'!$C$26*1000)</f>
        <v>#VALUE!</v>
      </c>
      <c r="W56" s="44" t="e">
        <f t="shared" ca="1" si="8"/>
        <v>#VALUE!</v>
      </c>
      <c r="X56" s="167" t="e">
        <f t="shared" ca="1" si="9"/>
        <v>#VALUE!</v>
      </c>
      <c r="Y56" s="102" t="e">
        <f ca="1">(U56/1000000)*('1a. Spredningsmodell input'!$B$49)*'1a. Spredningsmodell input'!$C$35</f>
        <v>#VALUE!</v>
      </c>
      <c r="Z56" s="37" t="e">
        <f ca="1">(V56/1000000)*('1a. Spredningsmodell input'!$B$49)*'1a. Spredningsmodell input'!$C$35</f>
        <v>#VALUE!</v>
      </c>
      <c r="AA56" s="37" t="e">
        <f t="shared" ca="1" si="10"/>
        <v>#VALUE!</v>
      </c>
      <c r="AB56" s="1" t="e">
        <f t="shared" ca="1" si="20"/>
        <v>#VALUE!</v>
      </c>
      <c r="AC56" s="37" t="e">
        <f t="shared" ca="1" si="21"/>
        <v>#VALUE!</v>
      </c>
      <c r="AD56"/>
      <c r="AG56" s="45"/>
      <c r="AH56" s="1"/>
      <c r="AI56" s="22"/>
      <c r="AL56"/>
    </row>
    <row r="57" spans="1:38" x14ac:dyDescent="0.35">
      <c r="A57" t="s">
        <v>552</v>
      </c>
      <c r="B57" t="s">
        <v>67</v>
      </c>
      <c r="C57">
        <f ca="1">INDIRECT(ADDRESS($B$11,8,,,"Stoff"))</f>
        <v>0.5</v>
      </c>
      <c r="D57">
        <v>0</v>
      </c>
      <c r="G57">
        <v>190</v>
      </c>
      <c r="H57">
        <f>'1a. Spredningsmodell input'!$I$2+G57</f>
        <v>190</v>
      </c>
      <c r="I57" t="e">
        <f t="shared" ca="1" si="5"/>
        <v>#VALUE!</v>
      </c>
      <c r="J57" t="e">
        <f t="shared" ca="1" si="6"/>
        <v>#VALUE!</v>
      </c>
      <c r="K57" t="e">
        <f t="shared" ca="1" si="11"/>
        <v>#VALUE!</v>
      </c>
      <c r="L57" t="e">
        <f t="shared" ca="1" si="12"/>
        <v>#VALUE!</v>
      </c>
      <c r="M57" t="e">
        <f t="shared" ca="1" si="7"/>
        <v>#VALUE!</v>
      </c>
      <c r="N57" s="22" t="e">
        <f t="shared" ca="1" si="13"/>
        <v>#VALUE!</v>
      </c>
      <c r="O57" t="e">
        <f t="shared" ca="1" si="14"/>
        <v>#VALUE!</v>
      </c>
      <c r="P57" s="18" t="e">
        <f t="shared" ca="1" si="15"/>
        <v>#VALUE!</v>
      </c>
      <c r="Q57" s="18" t="e">
        <f t="shared" ca="1" si="22"/>
        <v>#VALUE!</v>
      </c>
      <c r="R57" s="19" t="e">
        <f t="shared" ca="1" si="16"/>
        <v>#VALUE!</v>
      </c>
      <c r="S57" s="10" t="e">
        <f t="shared" ca="1" si="17"/>
        <v>#VALUE!</v>
      </c>
      <c r="T57" s="10" t="e">
        <f t="shared" ca="1" si="18"/>
        <v>#VALUE!</v>
      </c>
      <c r="U57" s="45" t="e">
        <f t="shared" ca="1" si="19"/>
        <v>#VALUE!</v>
      </c>
      <c r="V57" s="180" t="e">
        <f ca="1">Q57*1000000000/($B$22*'1a. Spredningsmodell input'!$C$26*1000)</f>
        <v>#VALUE!</v>
      </c>
      <c r="W57" s="44" t="e">
        <f t="shared" ca="1" si="8"/>
        <v>#VALUE!</v>
      </c>
      <c r="X57" s="167" t="e">
        <f t="shared" ca="1" si="9"/>
        <v>#VALUE!</v>
      </c>
      <c r="Y57" s="102" t="e">
        <f ca="1">(U57/1000000)*('1a. Spredningsmodell input'!$B$49)*'1a. Spredningsmodell input'!$C$35</f>
        <v>#VALUE!</v>
      </c>
      <c r="Z57" s="37" t="e">
        <f ca="1">(V57/1000000)*('1a. Spredningsmodell input'!$B$49)*'1a. Spredningsmodell input'!$C$35</f>
        <v>#VALUE!</v>
      </c>
      <c r="AA57" s="37" t="e">
        <f t="shared" ca="1" si="10"/>
        <v>#VALUE!</v>
      </c>
      <c r="AB57" s="1" t="e">
        <f t="shared" ca="1" si="20"/>
        <v>#VALUE!</v>
      </c>
      <c r="AC57" s="37" t="e">
        <f t="shared" ca="1" si="21"/>
        <v>#VALUE!</v>
      </c>
      <c r="AD57"/>
      <c r="AG57" s="45"/>
      <c r="AH57" s="1"/>
      <c r="AI57" s="22"/>
      <c r="AL57"/>
    </row>
    <row r="58" spans="1:38" x14ac:dyDescent="0.35">
      <c r="C58">
        <f ca="1">C57</f>
        <v>0.5</v>
      </c>
      <c r="D58">
        <f>D55</f>
        <v>1000</v>
      </c>
      <c r="G58">
        <v>195</v>
      </c>
      <c r="H58">
        <f>'1a. Spredningsmodell input'!$I$2+G58</f>
        <v>195</v>
      </c>
      <c r="I58" t="e">
        <f t="shared" ca="1" si="5"/>
        <v>#VALUE!</v>
      </c>
      <c r="J58" t="e">
        <f t="shared" ca="1" si="6"/>
        <v>#VALUE!</v>
      </c>
      <c r="K58" t="e">
        <f t="shared" ca="1" si="11"/>
        <v>#VALUE!</v>
      </c>
      <c r="L58" t="e">
        <f t="shared" ca="1" si="12"/>
        <v>#VALUE!</v>
      </c>
      <c r="M58" t="e">
        <f t="shared" ca="1" si="7"/>
        <v>#VALUE!</v>
      </c>
      <c r="N58" s="22" t="e">
        <f t="shared" ca="1" si="13"/>
        <v>#VALUE!</v>
      </c>
      <c r="O58" t="e">
        <f t="shared" ca="1" si="14"/>
        <v>#VALUE!</v>
      </c>
      <c r="P58" s="18" t="e">
        <f t="shared" ca="1" si="15"/>
        <v>#VALUE!</v>
      </c>
      <c r="Q58" s="18" t="e">
        <f t="shared" ca="1" si="22"/>
        <v>#VALUE!</v>
      </c>
      <c r="R58" s="19" t="e">
        <f t="shared" ca="1" si="16"/>
        <v>#VALUE!</v>
      </c>
      <c r="S58" s="10" t="e">
        <f t="shared" ca="1" si="17"/>
        <v>#VALUE!</v>
      </c>
      <c r="T58" s="10" t="e">
        <f t="shared" ca="1" si="18"/>
        <v>#VALUE!</v>
      </c>
      <c r="U58" s="45" t="e">
        <f t="shared" ca="1" si="19"/>
        <v>#VALUE!</v>
      </c>
      <c r="V58" s="180" t="e">
        <f ca="1">Q58*1000000000/($B$22*'1a. Spredningsmodell input'!$C$26*1000)</f>
        <v>#VALUE!</v>
      </c>
      <c r="W58" s="44" t="e">
        <f t="shared" ca="1" si="8"/>
        <v>#VALUE!</v>
      </c>
      <c r="X58" s="167" t="e">
        <f t="shared" ca="1" si="9"/>
        <v>#VALUE!</v>
      </c>
      <c r="Y58" s="102" t="e">
        <f ca="1">(U58/1000000)*('1a. Spredningsmodell input'!$B$49)*'1a. Spredningsmodell input'!$C$35</f>
        <v>#VALUE!</v>
      </c>
      <c r="Z58" s="37" t="e">
        <f ca="1">(V58/1000000)*('1a. Spredningsmodell input'!$B$49)*'1a. Spredningsmodell input'!$C$35</f>
        <v>#VALUE!</v>
      </c>
      <c r="AA58" s="37" t="e">
        <f t="shared" ca="1" si="10"/>
        <v>#VALUE!</v>
      </c>
      <c r="AB58" s="1" t="e">
        <f t="shared" ca="1" si="20"/>
        <v>#VALUE!</v>
      </c>
      <c r="AC58" s="37" t="e">
        <f t="shared" ca="1" si="21"/>
        <v>#VALUE!</v>
      </c>
      <c r="AD58"/>
      <c r="AG58" s="45"/>
      <c r="AH58" s="1"/>
      <c r="AI58" s="22"/>
      <c r="AL58"/>
    </row>
    <row r="59" spans="1:38" x14ac:dyDescent="0.35">
      <c r="G59">
        <v>200</v>
      </c>
      <c r="H59">
        <f>'1a. Spredningsmodell input'!$I$2+G59</f>
        <v>200</v>
      </c>
      <c r="I59" t="e">
        <f t="shared" ca="1" si="5"/>
        <v>#VALUE!</v>
      </c>
      <c r="J59" t="e">
        <f t="shared" ca="1" si="6"/>
        <v>#VALUE!</v>
      </c>
      <c r="K59" t="e">
        <f t="shared" ca="1" si="11"/>
        <v>#VALUE!</v>
      </c>
      <c r="L59" t="e">
        <f t="shared" ca="1" si="12"/>
        <v>#VALUE!</v>
      </c>
      <c r="M59" t="e">
        <f t="shared" ca="1" si="7"/>
        <v>#VALUE!</v>
      </c>
      <c r="N59" s="22" t="e">
        <f t="shared" ca="1" si="13"/>
        <v>#VALUE!</v>
      </c>
      <c r="O59" t="e">
        <f t="shared" ca="1" si="14"/>
        <v>#VALUE!</v>
      </c>
      <c r="P59" s="18" t="e">
        <f t="shared" ca="1" si="15"/>
        <v>#VALUE!</v>
      </c>
      <c r="Q59" s="18" t="e">
        <f t="shared" ca="1" si="22"/>
        <v>#VALUE!</v>
      </c>
      <c r="R59" s="19" t="e">
        <f t="shared" ca="1" si="16"/>
        <v>#VALUE!</v>
      </c>
      <c r="S59" s="10" t="e">
        <f t="shared" ca="1" si="17"/>
        <v>#VALUE!</v>
      </c>
      <c r="T59" s="10" t="e">
        <f t="shared" ca="1" si="18"/>
        <v>#VALUE!</v>
      </c>
      <c r="U59" s="45" t="e">
        <f t="shared" ca="1" si="19"/>
        <v>#VALUE!</v>
      </c>
      <c r="V59" s="180" t="e">
        <f ca="1">Q59*1000000000/($B$22*'1a. Spredningsmodell input'!$C$26*1000)</f>
        <v>#VALUE!</v>
      </c>
      <c r="W59" s="44" t="e">
        <f t="shared" ca="1" si="8"/>
        <v>#VALUE!</v>
      </c>
      <c r="X59" s="167" t="e">
        <f t="shared" ca="1" si="9"/>
        <v>#VALUE!</v>
      </c>
      <c r="Y59" s="102" t="e">
        <f ca="1">(U59/1000000)*('1a. Spredningsmodell input'!$B$49)*'1a. Spredningsmodell input'!$C$35</f>
        <v>#VALUE!</v>
      </c>
      <c r="Z59" s="37" t="e">
        <f ca="1">(V59/1000000)*('1a. Spredningsmodell input'!$B$49)*'1a. Spredningsmodell input'!$C$35</f>
        <v>#VALUE!</v>
      </c>
      <c r="AA59" s="37" t="e">
        <f t="shared" ca="1" si="10"/>
        <v>#VALUE!</v>
      </c>
      <c r="AB59" s="1" t="e">
        <f t="shared" ca="1" si="20"/>
        <v>#VALUE!</v>
      </c>
      <c r="AC59" s="37" t="e">
        <f t="shared" ca="1" si="21"/>
        <v>#VALUE!</v>
      </c>
      <c r="AD59"/>
      <c r="AG59" s="45"/>
      <c r="AH59" s="1"/>
      <c r="AI59" s="22"/>
      <c r="AL59"/>
    </row>
    <row r="60" spans="1:38" x14ac:dyDescent="0.35">
      <c r="G60">
        <v>205</v>
      </c>
      <c r="H60">
        <f>'1a. Spredningsmodell input'!$I$2+G60</f>
        <v>205</v>
      </c>
      <c r="I60" t="e">
        <f t="shared" ca="1" si="5"/>
        <v>#VALUE!</v>
      </c>
      <c r="J60" t="e">
        <f t="shared" ca="1" si="6"/>
        <v>#VALUE!</v>
      </c>
      <c r="K60" t="e">
        <f t="shared" ca="1" si="11"/>
        <v>#VALUE!</v>
      </c>
      <c r="L60" t="e">
        <f t="shared" ca="1" si="12"/>
        <v>#VALUE!</v>
      </c>
      <c r="M60" t="e">
        <f t="shared" ca="1" si="7"/>
        <v>#VALUE!</v>
      </c>
      <c r="N60" s="22" t="e">
        <f t="shared" ca="1" si="13"/>
        <v>#VALUE!</v>
      </c>
      <c r="O60" t="e">
        <f t="shared" ca="1" si="14"/>
        <v>#VALUE!</v>
      </c>
      <c r="P60" s="18" t="e">
        <f t="shared" ca="1" si="15"/>
        <v>#VALUE!</v>
      </c>
      <c r="Q60" s="18" t="e">
        <f t="shared" ca="1" si="22"/>
        <v>#VALUE!</v>
      </c>
      <c r="R60" s="19" t="e">
        <f t="shared" ca="1" si="16"/>
        <v>#VALUE!</v>
      </c>
      <c r="S60" s="10" t="e">
        <f t="shared" ca="1" si="17"/>
        <v>#VALUE!</v>
      </c>
      <c r="T60" s="10" t="e">
        <f t="shared" ca="1" si="18"/>
        <v>#VALUE!</v>
      </c>
      <c r="U60" s="45" t="e">
        <f t="shared" ca="1" si="19"/>
        <v>#VALUE!</v>
      </c>
      <c r="V60" s="180" t="e">
        <f ca="1">Q60*1000000000/($B$22*'1a. Spredningsmodell input'!$C$26*1000)</f>
        <v>#VALUE!</v>
      </c>
      <c r="W60" s="44" t="e">
        <f t="shared" ca="1" si="8"/>
        <v>#VALUE!</v>
      </c>
      <c r="X60" s="167" t="e">
        <f t="shared" ca="1" si="9"/>
        <v>#VALUE!</v>
      </c>
      <c r="Y60" s="102" t="e">
        <f ca="1">(U60/1000000)*('1a. Spredningsmodell input'!$B$49)*'1a. Spredningsmodell input'!$C$35</f>
        <v>#VALUE!</v>
      </c>
      <c r="Z60" s="37" t="e">
        <f ca="1">(V60/1000000)*('1a. Spredningsmodell input'!$B$49)*'1a. Spredningsmodell input'!$C$35</f>
        <v>#VALUE!</v>
      </c>
      <c r="AA60" s="37" t="e">
        <f t="shared" ca="1" si="10"/>
        <v>#VALUE!</v>
      </c>
      <c r="AB60" s="1" t="e">
        <f t="shared" ca="1" si="20"/>
        <v>#VALUE!</v>
      </c>
      <c r="AC60" s="37" t="e">
        <f t="shared" ca="1" si="21"/>
        <v>#VALUE!</v>
      </c>
      <c r="AD60"/>
      <c r="AG60" s="45"/>
      <c r="AH60" s="1"/>
      <c r="AI60" s="22"/>
      <c r="AL60"/>
    </row>
    <row r="61" spans="1:38" x14ac:dyDescent="0.35">
      <c r="G61">
        <v>210</v>
      </c>
      <c r="H61">
        <f>'1a. Spredningsmodell input'!$I$2+G61</f>
        <v>210</v>
      </c>
      <c r="I61" t="e">
        <f t="shared" ca="1" si="5"/>
        <v>#VALUE!</v>
      </c>
      <c r="J61" t="e">
        <f t="shared" ca="1" si="6"/>
        <v>#VALUE!</v>
      </c>
      <c r="K61" t="e">
        <f t="shared" ca="1" si="11"/>
        <v>#VALUE!</v>
      </c>
      <c r="L61" t="e">
        <f t="shared" ca="1" si="12"/>
        <v>#VALUE!</v>
      </c>
      <c r="M61" t="e">
        <f t="shared" ca="1" si="7"/>
        <v>#VALUE!</v>
      </c>
      <c r="N61" s="22" t="e">
        <f t="shared" ca="1" si="13"/>
        <v>#VALUE!</v>
      </c>
      <c r="O61" t="e">
        <f t="shared" ca="1" si="14"/>
        <v>#VALUE!</v>
      </c>
      <c r="P61" s="18" t="e">
        <f t="shared" ca="1" si="15"/>
        <v>#VALUE!</v>
      </c>
      <c r="Q61" s="18" t="e">
        <f t="shared" ca="1" si="22"/>
        <v>#VALUE!</v>
      </c>
      <c r="R61" s="19" t="e">
        <f t="shared" ca="1" si="16"/>
        <v>#VALUE!</v>
      </c>
      <c r="S61" s="10" t="e">
        <f t="shared" ca="1" si="17"/>
        <v>#VALUE!</v>
      </c>
      <c r="T61" s="10" t="e">
        <f t="shared" ca="1" si="18"/>
        <v>#VALUE!</v>
      </c>
      <c r="U61" s="45" t="e">
        <f t="shared" ca="1" si="19"/>
        <v>#VALUE!</v>
      </c>
      <c r="V61" s="180" t="e">
        <f ca="1">Q61*1000000000/($B$22*'1a. Spredningsmodell input'!$C$26*1000)</f>
        <v>#VALUE!</v>
      </c>
      <c r="W61" s="44" t="e">
        <f t="shared" ca="1" si="8"/>
        <v>#VALUE!</v>
      </c>
      <c r="X61" s="167" t="e">
        <f t="shared" ca="1" si="9"/>
        <v>#VALUE!</v>
      </c>
      <c r="Y61" s="102" t="e">
        <f ca="1">(U61/1000000)*('1a. Spredningsmodell input'!$B$49)*'1a. Spredningsmodell input'!$C$35</f>
        <v>#VALUE!</v>
      </c>
      <c r="Z61" s="37" t="e">
        <f ca="1">(V61/1000000)*('1a. Spredningsmodell input'!$B$49)*'1a. Spredningsmodell input'!$C$35</f>
        <v>#VALUE!</v>
      </c>
      <c r="AA61" s="37" t="e">
        <f t="shared" ca="1" si="10"/>
        <v>#VALUE!</v>
      </c>
      <c r="AB61" s="1" t="e">
        <f t="shared" ca="1" si="20"/>
        <v>#VALUE!</v>
      </c>
      <c r="AC61" s="37" t="e">
        <f t="shared" ca="1" si="21"/>
        <v>#VALUE!</v>
      </c>
      <c r="AD61"/>
      <c r="AG61" s="45"/>
      <c r="AH61" s="1"/>
      <c r="AI61" s="22"/>
      <c r="AL61"/>
    </row>
    <row r="62" spans="1:38" x14ac:dyDescent="0.35">
      <c r="G62">
        <v>215</v>
      </c>
      <c r="H62">
        <f>'1a. Spredningsmodell input'!$I$2+G62</f>
        <v>215</v>
      </c>
      <c r="I62" t="e">
        <f t="shared" ca="1" si="5"/>
        <v>#VALUE!</v>
      </c>
      <c r="J62" t="e">
        <f t="shared" ca="1" si="6"/>
        <v>#VALUE!</v>
      </c>
      <c r="K62" t="e">
        <f t="shared" ca="1" si="11"/>
        <v>#VALUE!</v>
      </c>
      <c r="L62" t="e">
        <f t="shared" ca="1" si="12"/>
        <v>#VALUE!</v>
      </c>
      <c r="M62" t="e">
        <f t="shared" ca="1" si="7"/>
        <v>#VALUE!</v>
      </c>
      <c r="N62" s="22" t="e">
        <f t="shared" ca="1" si="13"/>
        <v>#VALUE!</v>
      </c>
      <c r="O62" t="e">
        <f t="shared" ca="1" si="14"/>
        <v>#VALUE!</v>
      </c>
      <c r="P62" s="18" t="e">
        <f t="shared" ca="1" si="15"/>
        <v>#VALUE!</v>
      </c>
      <c r="Q62" s="18" t="e">
        <f t="shared" ca="1" si="22"/>
        <v>#VALUE!</v>
      </c>
      <c r="R62" s="19" t="e">
        <f t="shared" ca="1" si="16"/>
        <v>#VALUE!</v>
      </c>
      <c r="S62" s="10" t="e">
        <f t="shared" ca="1" si="17"/>
        <v>#VALUE!</v>
      </c>
      <c r="T62" s="10" t="e">
        <f t="shared" ca="1" si="18"/>
        <v>#VALUE!</v>
      </c>
      <c r="U62" s="45" t="e">
        <f t="shared" ca="1" si="19"/>
        <v>#VALUE!</v>
      </c>
      <c r="V62" s="180" t="e">
        <f ca="1">Q62*1000000000/($B$22*'1a. Spredningsmodell input'!$C$26*1000)</f>
        <v>#VALUE!</v>
      </c>
      <c r="W62" s="44" t="e">
        <f t="shared" ca="1" si="8"/>
        <v>#VALUE!</v>
      </c>
      <c r="X62" s="167" t="e">
        <f t="shared" ca="1" si="9"/>
        <v>#VALUE!</v>
      </c>
      <c r="Y62" s="102" t="e">
        <f ca="1">(U62/1000000)*('1a. Spredningsmodell input'!$B$49)*'1a. Spredningsmodell input'!$C$35</f>
        <v>#VALUE!</v>
      </c>
      <c r="Z62" s="37" t="e">
        <f ca="1">(V62/1000000)*('1a. Spredningsmodell input'!$B$49)*'1a. Spredningsmodell input'!$C$35</f>
        <v>#VALUE!</v>
      </c>
      <c r="AA62" s="37" t="e">
        <f t="shared" ca="1" si="10"/>
        <v>#VALUE!</v>
      </c>
      <c r="AB62" s="1" t="e">
        <f t="shared" ca="1" si="20"/>
        <v>#VALUE!</v>
      </c>
      <c r="AC62" s="37" t="e">
        <f t="shared" ca="1" si="21"/>
        <v>#VALUE!</v>
      </c>
      <c r="AD62"/>
      <c r="AG62" s="45"/>
      <c r="AH62" s="1"/>
      <c r="AI62" s="22"/>
      <c r="AL62"/>
    </row>
    <row r="63" spans="1:38" x14ac:dyDescent="0.35">
      <c r="G63">
        <v>220</v>
      </c>
      <c r="H63">
        <f>'1a. Spredningsmodell input'!$I$2+G63</f>
        <v>220</v>
      </c>
      <c r="I63" t="e">
        <f t="shared" ca="1" si="5"/>
        <v>#VALUE!</v>
      </c>
      <c r="J63" t="e">
        <f t="shared" ca="1" si="6"/>
        <v>#VALUE!</v>
      </c>
      <c r="K63" t="e">
        <f t="shared" ca="1" si="11"/>
        <v>#VALUE!</v>
      </c>
      <c r="L63" t="e">
        <f t="shared" ca="1" si="12"/>
        <v>#VALUE!</v>
      </c>
      <c r="M63" t="e">
        <f t="shared" ca="1" si="7"/>
        <v>#VALUE!</v>
      </c>
      <c r="N63" s="22" t="e">
        <f t="shared" ca="1" si="13"/>
        <v>#VALUE!</v>
      </c>
      <c r="O63" t="e">
        <f t="shared" ca="1" si="14"/>
        <v>#VALUE!</v>
      </c>
      <c r="P63" s="18" t="e">
        <f t="shared" ca="1" si="15"/>
        <v>#VALUE!</v>
      </c>
      <c r="Q63" s="18" t="e">
        <f t="shared" ca="1" si="22"/>
        <v>#VALUE!</v>
      </c>
      <c r="R63" s="19" t="e">
        <f t="shared" ca="1" si="16"/>
        <v>#VALUE!</v>
      </c>
      <c r="S63" s="10" t="e">
        <f t="shared" ca="1" si="17"/>
        <v>#VALUE!</v>
      </c>
      <c r="T63" s="10" t="e">
        <f t="shared" ca="1" si="18"/>
        <v>#VALUE!</v>
      </c>
      <c r="U63" s="45" t="e">
        <f t="shared" ca="1" si="19"/>
        <v>#VALUE!</v>
      </c>
      <c r="V63" s="180" t="e">
        <f ca="1">Q63*1000000000/($B$22*'1a. Spredningsmodell input'!$C$26*1000)</f>
        <v>#VALUE!</v>
      </c>
      <c r="W63" s="44" t="e">
        <f t="shared" ca="1" si="8"/>
        <v>#VALUE!</v>
      </c>
      <c r="X63" s="167" t="e">
        <f t="shared" ca="1" si="9"/>
        <v>#VALUE!</v>
      </c>
      <c r="Y63" s="102" t="e">
        <f ca="1">(U63/1000000)*('1a. Spredningsmodell input'!$B$49)*'1a. Spredningsmodell input'!$C$35</f>
        <v>#VALUE!</v>
      </c>
      <c r="Z63" s="37" t="e">
        <f ca="1">(V63/1000000)*('1a. Spredningsmodell input'!$B$49)*'1a. Spredningsmodell input'!$C$35</f>
        <v>#VALUE!</v>
      </c>
      <c r="AA63" s="37" t="e">
        <f t="shared" ca="1" si="10"/>
        <v>#VALUE!</v>
      </c>
      <c r="AB63" s="1" t="e">
        <f t="shared" ca="1" si="20"/>
        <v>#VALUE!</v>
      </c>
      <c r="AC63" s="37" t="e">
        <f t="shared" ca="1" si="21"/>
        <v>#VALUE!</v>
      </c>
      <c r="AD63"/>
      <c r="AG63" s="45"/>
      <c r="AH63" s="1"/>
      <c r="AI63" s="22"/>
      <c r="AL63"/>
    </row>
    <row r="64" spans="1:38" x14ac:dyDescent="0.35">
      <c r="G64">
        <v>225</v>
      </c>
      <c r="H64">
        <f>'1a. Spredningsmodell input'!$I$2+G64</f>
        <v>225</v>
      </c>
      <c r="I64" t="e">
        <f t="shared" ca="1" si="5"/>
        <v>#VALUE!</v>
      </c>
      <c r="J64" t="e">
        <f t="shared" ca="1" si="6"/>
        <v>#VALUE!</v>
      </c>
      <c r="K64" t="e">
        <f t="shared" ca="1" si="11"/>
        <v>#VALUE!</v>
      </c>
      <c r="L64" t="e">
        <f t="shared" ca="1" si="12"/>
        <v>#VALUE!</v>
      </c>
      <c r="M64" t="e">
        <f t="shared" ca="1" si="7"/>
        <v>#VALUE!</v>
      </c>
      <c r="N64" s="22" t="e">
        <f t="shared" ca="1" si="13"/>
        <v>#VALUE!</v>
      </c>
      <c r="O64" t="e">
        <f t="shared" ca="1" si="14"/>
        <v>#VALUE!</v>
      </c>
      <c r="P64" s="18" t="e">
        <f t="shared" ca="1" si="15"/>
        <v>#VALUE!</v>
      </c>
      <c r="Q64" s="18" t="e">
        <f t="shared" ca="1" si="22"/>
        <v>#VALUE!</v>
      </c>
      <c r="R64" s="19" t="e">
        <f t="shared" ca="1" si="16"/>
        <v>#VALUE!</v>
      </c>
      <c r="S64" s="10" t="e">
        <f t="shared" ca="1" si="17"/>
        <v>#VALUE!</v>
      </c>
      <c r="T64" s="10" t="e">
        <f t="shared" ca="1" si="18"/>
        <v>#VALUE!</v>
      </c>
      <c r="U64" s="45" t="e">
        <f t="shared" ca="1" si="19"/>
        <v>#VALUE!</v>
      </c>
      <c r="V64" s="180" t="e">
        <f ca="1">Q64*1000000000/($B$22*'1a. Spredningsmodell input'!$C$26*1000)</f>
        <v>#VALUE!</v>
      </c>
      <c r="W64" s="44" t="e">
        <f t="shared" ca="1" si="8"/>
        <v>#VALUE!</v>
      </c>
      <c r="X64" s="167" t="e">
        <f t="shared" ca="1" si="9"/>
        <v>#VALUE!</v>
      </c>
      <c r="Y64" s="102" t="e">
        <f ca="1">(U64/1000000)*('1a. Spredningsmodell input'!$B$49)*'1a. Spredningsmodell input'!$C$35</f>
        <v>#VALUE!</v>
      </c>
      <c r="Z64" s="37" t="e">
        <f ca="1">(V64/1000000)*('1a. Spredningsmodell input'!$B$49)*'1a. Spredningsmodell input'!$C$35</f>
        <v>#VALUE!</v>
      </c>
      <c r="AA64" s="37" t="e">
        <f t="shared" ca="1" si="10"/>
        <v>#VALUE!</v>
      </c>
      <c r="AB64" s="1" t="e">
        <f t="shared" ca="1" si="20"/>
        <v>#VALUE!</v>
      </c>
      <c r="AC64" s="37" t="e">
        <f t="shared" ca="1" si="21"/>
        <v>#VALUE!</v>
      </c>
      <c r="AD64"/>
      <c r="AG64" s="45"/>
      <c r="AH64" s="1"/>
      <c r="AI64" s="22"/>
      <c r="AL64"/>
    </row>
    <row r="65" spans="7:38" x14ac:dyDescent="0.35">
      <c r="G65">
        <v>230</v>
      </c>
      <c r="H65">
        <f>'1a. Spredningsmodell input'!$I$2+G65</f>
        <v>230</v>
      </c>
      <c r="I65" t="e">
        <f t="shared" ca="1" si="5"/>
        <v>#VALUE!</v>
      </c>
      <c r="J65" t="e">
        <f t="shared" ca="1" si="6"/>
        <v>#VALUE!</v>
      </c>
      <c r="K65" t="e">
        <f t="shared" ca="1" si="11"/>
        <v>#VALUE!</v>
      </c>
      <c r="L65" t="e">
        <f t="shared" ca="1" si="12"/>
        <v>#VALUE!</v>
      </c>
      <c r="M65" t="e">
        <f t="shared" ca="1" si="7"/>
        <v>#VALUE!</v>
      </c>
      <c r="N65" s="22" t="e">
        <f t="shared" ca="1" si="13"/>
        <v>#VALUE!</v>
      </c>
      <c r="O65" t="e">
        <f t="shared" ca="1" si="14"/>
        <v>#VALUE!</v>
      </c>
      <c r="P65" s="18" t="e">
        <f t="shared" ca="1" si="15"/>
        <v>#VALUE!</v>
      </c>
      <c r="Q65" s="18" t="e">
        <f t="shared" ca="1" si="22"/>
        <v>#VALUE!</v>
      </c>
      <c r="R65" s="19" t="e">
        <f t="shared" ca="1" si="16"/>
        <v>#VALUE!</v>
      </c>
      <c r="S65" s="10" t="e">
        <f t="shared" ca="1" si="17"/>
        <v>#VALUE!</v>
      </c>
      <c r="T65" s="10" t="e">
        <f t="shared" ca="1" si="18"/>
        <v>#VALUE!</v>
      </c>
      <c r="U65" s="45" t="e">
        <f t="shared" ca="1" si="19"/>
        <v>#VALUE!</v>
      </c>
      <c r="V65" s="180" t="e">
        <f ca="1">Q65*1000000000/($B$22*'1a. Spredningsmodell input'!$C$26*1000)</f>
        <v>#VALUE!</v>
      </c>
      <c r="W65" s="44" t="e">
        <f t="shared" ca="1" si="8"/>
        <v>#VALUE!</v>
      </c>
      <c r="X65" s="167" t="e">
        <f t="shared" ca="1" si="9"/>
        <v>#VALUE!</v>
      </c>
      <c r="Y65" s="102" t="e">
        <f ca="1">(U65/1000000)*('1a. Spredningsmodell input'!$B$49)*'1a. Spredningsmodell input'!$C$35</f>
        <v>#VALUE!</v>
      </c>
      <c r="Z65" s="37" t="e">
        <f ca="1">(V65/1000000)*('1a. Spredningsmodell input'!$B$49)*'1a. Spredningsmodell input'!$C$35</f>
        <v>#VALUE!</v>
      </c>
      <c r="AA65" s="37" t="e">
        <f t="shared" ca="1" si="10"/>
        <v>#VALUE!</v>
      </c>
      <c r="AB65" s="1" t="e">
        <f t="shared" ca="1" si="20"/>
        <v>#VALUE!</v>
      </c>
      <c r="AC65" s="37" t="e">
        <f t="shared" ca="1" si="21"/>
        <v>#VALUE!</v>
      </c>
      <c r="AD65"/>
      <c r="AG65" s="45"/>
      <c r="AH65" s="1"/>
      <c r="AI65" s="22"/>
      <c r="AL65"/>
    </row>
    <row r="66" spans="7:38" x14ac:dyDescent="0.35">
      <c r="G66">
        <v>235</v>
      </c>
      <c r="H66">
        <f>'1a. Spredningsmodell input'!$I$2+G66</f>
        <v>235</v>
      </c>
      <c r="I66" t="e">
        <f t="shared" ca="1" si="5"/>
        <v>#VALUE!</v>
      </c>
      <c r="J66" t="e">
        <f t="shared" ca="1" si="6"/>
        <v>#VALUE!</v>
      </c>
      <c r="K66" t="e">
        <f t="shared" ca="1" si="11"/>
        <v>#VALUE!</v>
      </c>
      <c r="L66" t="e">
        <f t="shared" ca="1" si="12"/>
        <v>#VALUE!</v>
      </c>
      <c r="M66" t="e">
        <f t="shared" ca="1" si="7"/>
        <v>#VALUE!</v>
      </c>
      <c r="N66" s="22" t="e">
        <f t="shared" ca="1" si="13"/>
        <v>#VALUE!</v>
      </c>
      <c r="O66" t="e">
        <f t="shared" ca="1" si="14"/>
        <v>#VALUE!</v>
      </c>
      <c r="P66" s="18" t="e">
        <f t="shared" ca="1" si="15"/>
        <v>#VALUE!</v>
      </c>
      <c r="Q66" s="18" t="e">
        <f t="shared" ca="1" si="22"/>
        <v>#VALUE!</v>
      </c>
      <c r="R66" s="19" t="e">
        <f t="shared" ca="1" si="16"/>
        <v>#VALUE!</v>
      </c>
      <c r="S66" s="10" t="e">
        <f t="shared" ca="1" si="17"/>
        <v>#VALUE!</v>
      </c>
      <c r="T66" s="10" t="e">
        <f t="shared" ca="1" si="18"/>
        <v>#VALUE!</v>
      </c>
      <c r="U66" s="45" t="e">
        <f t="shared" ca="1" si="19"/>
        <v>#VALUE!</v>
      </c>
      <c r="V66" s="180" t="e">
        <f ca="1">Q66*1000000000/($B$22*'1a. Spredningsmodell input'!$C$26*1000)</f>
        <v>#VALUE!</v>
      </c>
      <c r="W66" s="44" t="e">
        <f t="shared" ca="1" si="8"/>
        <v>#VALUE!</v>
      </c>
      <c r="X66" s="167" t="e">
        <f t="shared" ca="1" si="9"/>
        <v>#VALUE!</v>
      </c>
      <c r="Y66" s="102" t="e">
        <f ca="1">(U66/1000000)*('1a. Spredningsmodell input'!$B$49)*'1a. Spredningsmodell input'!$C$35</f>
        <v>#VALUE!</v>
      </c>
      <c r="Z66" s="37" t="e">
        <f ca="1">(V66/1000000)*('1a. Spredningsmodell input'!$B$49)*'1a. Spredningsmodell input'!$C$35</f>
        <v>#VALUE!</v>
      </c>
      <c r="AA66" s="37" t="e">
        <f t="shared" ca="1" si="10"/>
        <v>#VALUE!</v>
      </c>
      <c r="AB66" s="1" t="e">
        <f t="shared" ca="1" si="20"/>
        <v>#VALUE!</v>
      </c>
      <c r="AC66" s="37" t="e">
        <f t="shared" ca="1" si="21"/>
        <v>#VALUE!</v>
      </c>
      <c r="AD66"/>
      <c r="AG66" s="45"/>
      <c r="AH66" s="1"/>
      <c r="AI66" s="22"/>
      <c r="AL66"/>
    </row>
    <row r="67" spans="7:38" x14ac:dyDescent="0.35">
      <c r="G67">
        <v>240</v>
      </c>
      <c r="H67">
        <f>'1a. Spredningsmodell input'!$I$2+G67</f>
        <v>240</v>
      </c>
      <c r="I67" t="e">
        <f t="shared" ca="1" si="5"/>
        <v>#VALUE!</v>
      </c>
      <c r="J67" t="e">
        <f t="shared" ca="1" si="6"/>
        <v>#VALUE!</v>
      </c>
      <c r="K67" t="e">
        <f t="shared" ca="1" si="11"/>
        <v>#VALUE!</v>
      </c>
      <c r="L67" t="e">
        <f t="shared" ca="1" si="12"/>
        <v>#VALUE!</v>
      </c>
      <c r="M67" t="e">
        <f t="shared" ca="1" si="7"/>
        <v>#VALUE!</v>
      </c>
      <c r="N67" s="22" t="e">
        <f t="shared" ca="1" si="13"/>
        <v>#VALUE!</v>
      </c>
      <c r="O67" t="e">
        <f t="shared" ca="1" si="14"/>
        <v>#VALUE!</v>
      </c>
      <c r="P67" s="18" t="e">
        <f t="shared" ca="1" si="15"/>
        <v>#VALUE!</v>
      </c>
      <c r="Q67" s="18" t="e">
        <f t="shared" ca="1" si="22"/>
        <v>#VALUE!</v>
      </c>
      <c r="R67" s="19" t="e">
        <f t="shared" ca="1" si="16"/>
        <v>#VALUE!</v>
      </c>
      <c r="S67" s="10" t="e">
        <f t="shared" ca="1" si="17"/>
        <v>#VALUE!</v>
      </c>
      <c r="T67" s="10" t="e">
        <f t="shared" ca="1" si="18"/>
        <v>#VALUE!</v>
      </c>
      <c r="U67" s="45" t="e">
        <f t="shared" ca="1" si="19"/>
        <v>#VALUE!</v>
      </c>
      <c r="V67" s="180" t="e">
        <f ca="1">Q67*1000000000/($B$22*'1a. Spredningsmodell input'!$C$26*1000)</f>
        <v>#VALUE!</v>
      </c>
      <c r="W67" s="44" t="e">
        <f t="shared" ca="1" si="8"/>
        <v>#VALUE!</v>
      </c>
      <c r="X67" s="167" t="e">
        <f t="shared" ca="1" si="9"/>
        <v>#VALUE!</v>
      </c>
      <c r="Y67" s="102" t="e">
        <f ca="1">(U67/1000000)*('1a. Spredningsmodell input'!$B$49)*'1a. Spredningsmodell input'!$C$35</f>
        <v>#VALUE!</v>
      </c>
      <c r="Z67" s="37" t="e">
        <f ca="1">(V67/1000000)*('1a. Spredningsmodell input'!$B$49)*'1a. Spredningsmodell input'!$C$35</f>
        <v>#VALUE!</v>
      </c>
      <c r="AA67" s="37" t="e">
        <f t="shared" ca="1" si="10"/>
        <v>#VALUE!</v>
      </c>
      <c r="AB67" s="1" t="e">
        <f t="shared" ca="1" si="20"/>
        <v>#VALUE!</v>
      </c>
      <c r="AC67" s="37" t="e">
        <f t="shared" ca="1" si="21"/>
        <v>#VALUE!</v>
      </c>
      <c r="AD67"/>
      <c r="AG67" s="45"/>
      <c r="AH67" s="1"/>
      <c r="AI67" s="22"/>
      <c r="AL67"/>
    </row>
    <row r="68" spans="7:38" x14ac:dyDescent="0.35">
      <c r="G68">
        <v>245</v>
      </c>
      <c r="H68">
        <f>'1a. Spredningsmodell input'!$I$2+G68</f>
        <v>245</v>
      </c>
      <c r="I68" t="e">
        <f t="shared" ca="1" si="5"/>
        <v>#VALUE!</v>
      </c>
      <c r="J68" t="e">
        <f t="shared" ca="1" si="6"/>
        <v>#VALUE!</v>
      </c>
      <c r="K68" t="e">
        <f t="shared" ca="1" si="11"/>
        <v>#VALUE!</v>
      </c>
      <c r="L68" t="e">
        <f t="shared" ca="1" si="12"/>
        <v>#VALUE!</v>
      </c>
      <c r="M68" t="e">
        <f t="shared" ca="1" si="7"/>
        <v>#VALUE!</v>
      </c>
      <c r="N68" s="22" t="e">
        <f t="shared" ca="1" si="13"/>
        <v>#VALUE!</v>
      </c>
      <c r="O68" t="e">
        <f t="shared" ca="1" si="14"/>
        <v>#VALUE!</v>
      </c>
      <c r="P68" s="18" t="e">
        <f t="shared" ca="1" si="15"/>
        <v>#VALUE!</v>
      </c>
      <c r="Q68" s="18" t="e">
        <f t="shared" ca="1" si="22"/>
        <v>#VALUE!</v>
      </c>
      <c r="R68" s="19" t="e">
        <f t="shared" ca="1" si="16"/>
        <v>#VALUE!</v>
      </c>
      <c r="S68" s="10" t="e">
        <f t="shared" ca="1" si="17"/>
        <v>#VALUE!</v>
      </c>
      <c r="T68" s="10" t="e">
        <f t="shared" ca="1" si="18"/>
        <v>#VALUE!</v>
      </c>
      <c r="U68" s="45" t="e">
        <f t="shared" ca="1" si="19"/>
        <v>#VALUE!</v>
      </c>
      <c r="V68" s="180" t="e">
        <f ca="1">Q68*1000000000/($B$22*'1a. Spredningsmodell input'!$C$26*1000)</f>
        <v>#VALUE!</v>
      </c>
      <c r="W68" s="44" t="e">
        <f t="shared" ca="1" si="8"/>
        <v>#VALUE!</v>
      </c>
      <c r="X68" s="167" t="e">
        <f t="shared" ca="1" si="9"/>
        <v>#VALUE!</v>
      </c>
      <c r="Y68" s="102" t="e">
        <f ca="1">(U68/1000000)*('1a. Spredningsmodell input'!$B$49)*'1a. Spredningsmodell input'!$C$35</f>
        <v>#VALUE!</v>
      </c>
      <c r="Z68" s="37" t="e">
        <f ca="1">(V68/1000000)*('1a. Spredningsmodell input'!$B$49)*'1a. Spredningsmodell input'!$C$35</f>
        <v>#VALUE!</v>
      </c>
      <c r="AA68" s="37" t="e">
        <f t="shared" ca="1" si="10"/>
        <v>#VALUE!</v>
      </c>
      <c r="AB68" s="1" t="e">
        <f t="shared" ca="1" si="20"/>
        <v>#VALUE!</v>
      </c>
      <c r="AC68" s="37" t="e">
        <f t="shared" ca="1" si="21"/>
        <v>#VALUE!</v>
      </c>
      <c r="AD68"/>
      <c r="AG68" s="45"/>
      <c r="AH68" s="1"/>
      <c r="AI68" s="22"/>
      <c r="AL68"/>
    </row>
    <row r="69" spans="7:38" x14ac:dyDescent="0.35">
      <c r="G69">
        <v>250</v>
      </c>
      <c r="H69">
        <f>'1a. Spredningsmodell input'!$I$2+G69</f>
        <v>250</v>
      </c>
      <c r="I69" t="e">
        <f t="shared" ca="1" si="5"/>
        <v>#VALUE!</v>
      </c>
      <c r="J69" t="e">
        <f t="shared" ca="1" si="6"/>
        <v>#VALUE!</v>
      </c>
      <c r="K69" t="e">
        <f t="shared" ca="1" si="11"/>
        <v>#VALUE!</v>
      </c>
      <c r="L69" t="e">
        <f t="shared" ca="1" si="12"/>
        <v>#VALUE!</v>
      </c>
      <c r="M69" t="e">
        <f t="shared" ca="1" si="7"/>
        <v>#VALUE!</v>
      </c>
      <c r="N69" s="22" t="e">
        <f t="shared" ca="1" si="13"/>
        <v>#VALUE!</v>
      </c>
      <c r="O69" t="e">
        <f t="shared" ca="1" si="14"/>
        <v>#VALUE!</v>
      </c>
      <c r="P69" s="18" t="e">
        <f t="shared" ca="1" si="15"/>
        <v>#VALUE!</v>
      </c>
      <c r="Q69" s="18" t="e">
        <f t="shared" ca="1" si="22"/>
        <v>#VALUE!</v>
      </c>
      <c r="R69" s="19" t="e">
        <f t="shared" ca="1" si="16"/>
        <v>#VALUE!</v>
      </c>
      <c r="S69" s="10" t="e">
        <f t="shared" ca="1" si="17"/>
        <v>#VALUE!</v>
      </c>
      <c r="T69" s="10" t="e">
        <f t="shared" ca="1" si="18"/>
        <v>#VALUE!</v>
      </c>
      <c r="U69" s="45" t="e">
        <f t="shared" ca="1" si="19"/>
        <v>#VALUE!</v>
      </c>
      <c r="V69" s="180" t="e">
        <f ca="1">Q69*1000000000/($B$22*'1a. Spredningsmodell input'!$C$26*1000)</f>
        <v>#VALUE!</v>
      </c>
      <c r="W69" s="44" t="e">
        <f t="shared" ca="1" si="8"/>
        <v>#VALUE!</v>
      </c>
      <c r="X69" s="167" t="e">
        <f t="shared" ca="1" si="9"/>
        <v>#VALUE!</v>
      </c>
      <c r="Y69" s="102" t="e">
        <f ca="1">(U69/1000000)*('1a. Spredningsmodell input'!$B$49)*'1a. Spredningsmodell input'!$C$35</f>
        <v>#VALUE!</v>
      </c>
      <c r="Z69" s="37" t="e">
        <f ca="1">(V69/1000000)*('1a. Spredningsmodell input'!$B$49)*'1a. Spredningsmodell input'!$C$35</f>
        <v>#VALUE!</v>
      </c>
      <c r="AA69" s="37" t="e">
        <f t="shared" ca="1" si="10"/>
        <v>#VALUE!</v>
      </c>
      <c r="AB69" s="1" t="e">
        <f t="shared" ca="1" si="20"/>
        <v>#VALUE!</v>
      </c>
      <c r="AC69" s="37" t="e">
        <f t="shared" ca="1" si="21"/>
        <v>#VALUE!</v>
      </c>
      <c r="AD69"/>
      <c r="AG69" s="45"/>
      <c r="AH69" s="1"/>
      <c r="AI69" s="22"/>
      <c r="AL69"/>
    </row>
    <row r="70" spans="7:38" x14ac:dyDescent="0.35">
      <c r="G70">
        <v>255</v>
      </c>
      <c r="H70">
        <f>'1a. Spredningsmodell input'!$I$2+G70</f>
        <v>255</v>
      </c>
      <c r="I70" t="e">
        <f t="shared" ca="1" si="5"/>
        <v>#VALUE!</v>
      </c>
      <c r="J70" t="e">
        <f t="shared" ca="1" si="6"/>
        <v>#VALUE!</v>
      </c>
      <c r="K70" t="e">
        <f t="shared" ca="1" si="11"/>
        <v>#VALUE!</v>
      </c>
      <c r="L70" t="e">
        <f t="shared" ca="1" si="12"/>
        <v>#VALUE!</v>
      </c>
      <c r="M70" t="e">
        <f t="shared" ca="1" si="7"/>
        <v>#VALUE!</v>
      </c>
      <c r="N70" s="22" t="e">
        <f t="shared" ca="1" si="13"/>
        <v>#VALUE!</v>
      </c>
      <c r="O70" t="e">
        <f t="shared" ca="1" si="14"/>
        <v>#VALUE!</v>
      </c>
      <c r="P70" s="18" t="e">
        <f t="shared" ca="1" si="15"/>
        <v>#VALUE!</v>
      </c>
      <c r="Q70" s="18" t="e">
        <f t="shared" ca="1" si="22"/>
        <v>#VALUE!</v>
      </c>
      <c r="R70" s="19" t="e">
        <f t="shared" ca="1" si="16"/>
        <v>#VALUE!</v>
      </c>
      <c r="S70" s="10" t="e">
        <f t="shared" ca="1" si="17"/>
        <v>#VALUE!</v>
      </c>
      <c r="T70" s="10" t="e">
        <f t="shared" ca="1" si="18"/>
        <v>#VALUE!</v>
      </c>
      <c r="U70" s="45" t="e">
        <f t="shared" ca="1" si="19"/>
        <v>#VALUE!</v>
      </c>
      <c r="V70" s="180" t="e">
        <f ca="1">Q70*1000000000/($B$22*'1a. Spredningsmodell input'!$C$26*1000)</f>
        <v>#VALUE!</v>
      </c>
      <c r="W70" s="44" t="e">
        <f t="shared" ca="1" si="8"/>
        <v>#VALUE!</v>
      </c>
      <c r="X70" s="167" t="e">
        <f t="shared" ca="1" si="9"/>
        <v>#VALUE!</v>
      </c>
      <c r="Y70" s="102" t="e">
        <f ca="1">(U70/1000000)*('1a. Spredningsmodell input'!$B$49)*'1a. Spredningsmodell input'!$C$35</f>
        <v>#VALUE!</v>
      </c>
      <c r="Z70" s="37" t="e">
        <f ca="1">(V70/1000000)*('1a. Spredningsmodell input'!$B$49)*'1a. Spredningsmodell input'!$C$35</f>
        <v>#VALUE!</v>
      </c>
      <c r="AA70" s="37" t="e">
        <f t="shared" ca="1" si="10"/>
        <v>#VALUE!</v>
      </c>
      <c r="AB70" s="1" t="e">
        <f t="shared" ca="1" si="20"/>
        <v>#VALUE!</v>
      </c>
      <c r="AC70" s="37" t="e">
        <f t="shared" ca="1" si="21"/>
        <v>#VALUE!</v>
      </c>
      <c r="AD70"/>
      <c r="AG70" s="45"/>
      <c r="AH70" s="1"/>
      <c r="AI70" s="22"/>
      <c r="AL70"/>
    </row>
    <row r="71" spans="7:38" x14ac:dyDescent="0.35">
      <c r="G71">
        <v>260</v>
      </c>
      <c r="H71">
        <f>'1a. Spredningsmodell input'!$I$2+G71</f>
        <v>260</v>
      </c>
      <c r="I71" t="e">
        <f t="shared" ca="1" si="5"/>
        <v>#VALUE!</v>
      </c>
      <c r="J71" t="e">
        <f t="shared" ca="1" si="6"/>
        <v>#VALUE!</v>
      </c>
      <c r="K71" t="e">
        <f t="shared" ca="1" si="11"/>
        <v>#VALUE!</v>
      </c>
      <c r="L71" t="e">
        <f t="shared" ca="1" si="12"/>
        <v>#VALUE!</v>
      </c>
      <c r="M71" t="e">
        <f t="shared" ca="1" si="7"/>
        <v>#VALUE!</v>
      </c>
      <c r="N71" s="22" t="e">
        <f t="shared" ca="1" si="13"/>
        <v>#VALUE!</v>
      </c>
      <c r="O71" t="e">
        <f t="shared" ca="1" si="14"/>
        <v>#VALUE!</v>
      </c>
      <c r="P71" s="18" t="e">
        <f t="shared" ca="1" si="15"/>
        <v>#VALUE!</v>
      </c>
      <c r="Q71" s="18" t="e">
        <f t="shared" ca="1" si="22"/>
        <v>#VALUE!</v>
      </c>
      <c r="R71" s="19" t="e">
        <f t="shared" ca="1" si="16"/>
        <v>#VALUE!</v>
      </c>
      <c r="S71" s="10" t="e">
        <f t="shared" ca="1" si="17"/>
        <v>#VALUE!</v>
      </c>
      <c r="T71" s="10" t="e">
        <f t="shared" ca="1" si="18"/>
        <v>#VALUE!</v>
      </c>
      <c r="U71" s="45" t="e">
        <f t="shared" ca="1" si="19"/>
        <v>#VALUE!</v>
      </c>
      <c r="V71" s="180" t="e">
        <f ca="1">Q71*1000000000/($B$22*'1a. Spredningsmodell input'!$C$26*1000)</f>
        <v>#VALUE!</v>
      </c>
      <c r="W71" s="44" t="e">
        <f t="shared" ca="1" si="8"/>
        <v>#VALUE!</v>
      </c>
      <c r="X71" s="167" t="e">
        <f t="shared" ca="1" si="9"/>
        <v>#VALUE!</v>
      </c>
      <c r="Y71" s="102" t="e">
        <f ca="1">(U71/1000000)*('1a. Spredningsmodell input'!$B$49)*'1a. Spredningsmodell input'!$C$35</f>
        <v>#VALUE!</v>
      </c>
      <c r="Z71" s="37" t="e">
        <f ca="1">(V71/1000000)*('1a. Spredningsmodell input'!$B$49)*'1a. Spredningsmodell input'!$C$35</f>
        <v>#VALUE!</v>
      </c>
      <c r="AA71" s="37" t="e">
        <f t="shared" ca="1" si="10"/>
        <v>#VALUE!</v>
      </c>
      <c r="AB71" s="1" t="e">
        <f t="shared" ca="1" si="20"/>
        <v>#VALUE!</v>
      </c>
      <c r="AC71" s="37" t="e">
        <f t="shared" ca="1" si="21"/>
        <v>#VALUE!</v>
      </c>
      <c r="AD71"/>
      <c r="AG71" s="45"/>
      <c r="AH71" s="1"/>
      <c r="AI71" s="22"/>
      <c r="AL71"/>
    </row>
    <row r="72" spans="7:38" x14ac:dyDescent="0.35">
      <c r="G72">
        <v>265</v>
      </c>
      <c r="H72">
        <f>'1a. Spredningsmodell input'!$I$2+G72</f>
        <v>265</v>
      </c>
      <c r="I72" t="e">
        <f t="shared" ca="1" si="5"/>
        <v>#VALUE!</v>
      </c>
      <c r="J72" t="e">
        <f t="shared" ca="1" si="6"/>
        <v>#VALUE!</v>
      </c>
      <c r="K72" t="e">
        <f t="shared" ca="1" si="11"/>
        <v>#VALUE!</v>
      </c>
      <c r="L72" t="e">
        <f t="shared" ca="1" si="12"/>
        <v>#VALUE!</v>
      </c>
      <c r="M72" t="e">
        <f t="shared" ca="1" si="7"/>
        <v>#VALUE!</v>
      </c>
      <c r="N72" s="22" t="e">
        <f t="shared" ca="1" si="13"/>
        <v>#VALUE!</v>
      </c>
      <c r="O72" t="e">
        <f t="shared" ca="1" si="14"/>
        <v>#VALUE!</v>
      </c>
      <c r="P72" s="18" t="e">
        <f t="shared" ca="1" si="15"/>
        <v>#VALUE!</v>
      </c>
      <c r="Q72" s="18" t="e">
        <f t="shared" ca="1" si="22"/>
        <v>#VALUE!</v>
      </c>
      <c r="R72" s="19" t="e">
        <f t="shared" ca="1" si="16"/>
        <v>#VALUE!</v>
      </c>
      <c r="S72" s="10" t="e">
        <f t="shared" ca="1" si="17"/>
        <v>#VALUE!</v>
      </c>
      <c r="T72" s="10" t="e">
        <f t="shared" ca="1" si="18"/>
        <v>#VALUE!</v>
      </c>
      <c r="U72" s="45" t="e">
        <f t="shared" ca="1" si="19"/>
        <v>#VALUE!</v>
      </c>
      <c r="V72" s="180" t="e">
        <f ca="1">Q72*1000000000/($B$22*'1a. Spredningsmodell input'!$C$26*1000)</f>
        <v>#VALUE!</v>
      </c>
      <c r="W72" s="44" t="e">
        <f t="shared" ca="1" si="8"/>
        <v>#VALUE!</v>
      </c>
      <c r="X72" s="167" t="e">
        <f t="shared" ca="1" si="9"/>
        <v>#VALUE!</v>
      </c>
      <c r="Y72" s="102" t="e">
        <f ca="1">(U72/1000000)*('1a. Spredningsmodell input'!$B$49)*'1a. Spredningsmodell input'!$C$35</f>
        <v>#VALUE!</v>
      </c>
      <c r="Z72" s="37" t="e">
        <f ca="1">(V72/1000000)*('1a. Spredningsmodell input'!$B$49)*'1a. Spredningsmodell input'!$C$35</f>
        <v>#VALUE!</v>
      </c>
      <c r="AA72" s="37" t="e">
        <f t="shared" ca="1" si="10"/>
        <v>#VALUE!</v>
      </c>
      <c r="AB72" s="1" t="e">
        <f t="shared" ca="1" si="20"/>
        <v>#VALUE!</v>
      </c>
      <c r="AC72" s="37" t="e">
        <f t="shared" ca="1" si="21"/>
        <v>#VALUE!</v>
      </c>
      <c r="AD72"/>
      <c r="AG72" s="45"/>
      <c r="AH72" s="1"/>
      <c r="AI72" s="22"/>
      <c r="AL72"/>
    </row>
    <row r="73" spans="7:38" x14ac:dyDescent="0.35">
      <c r="G73">
        <v>270</v>
      </c>
      <c r="H73">
        <f>'1a. Spredningsmodell input'!$I$2+G73</f>
        <v>270</v>
      </c>
      <c r="I73" t="e">
        <f t="shared" ca="1" si="5"/>
        <v>#VALUE!</v>
      </c>
      <c r="J73" t="e">
        <f t="shared" ca="1" si="6"/>
        <v>#VALUE!</v>
      </c>
      <c r="K73" t="e">
        <f t="shared" ca="1" si="11"/>
        <v>#VALUE!</v>
      </c>
      <c r="L73" t="e">
        <f t="shared" ca="1" si="12"/>
        <v>#VALUE!</v>
      </c>
      <c r="M73" t="e">
        <f t="shared" ca="1" si="7"/>
        <v>#VALUE!</v>
      </c>
      <c r="N73" s="22" t="e">
        <f t="shared" ca="1" si="13"/>
        <v>#VALUE!</v>
      </c>
      <c r="O73" t="e">
        <f t="shared" ca="1" si="14"/>
        <v>#VALUE!</v>
      </c>
      <c r="P73" s="18" t="e">
        <f t="shared" ca="1" si="15"/>
        <v>#VALUE!</v>
      </c>
      <c r="Q73" s="18" t="e">
        <f t="shared" ca="1" si="22"/>
        <v>#VALUE!</v>
      </c>
      <c r="R73" s="19" t="e">
        <f t="shared" ca="1" si="16"/>
        <v>#VALUE!</v>
      </c>
      <c r="S73" s="10" t="e">
        <f t="shared" ca="1" si="17"/>
        <v>#VALUE!</v>
      </c>
      <c r="T73" s="10" t="e">
        <f t="shared" ca="1" si="18"/>
        <v>#VALUE!</v>
      </c>
      <c r="U73" s="45" t="e">
        <f t="shared" ca="1" si="19"/>
        <v>#VALUE!</v>
      </c>
      <c r="V73" s="180" t="e">
        <f ca="1">Q73*1000000000/($B$22*'1a. Spredningsmodell input'!$C$26*1000)</f>
        <v>#VALUE!</v>
      </c>
      <c r="W73" s="44" t="e">
        <f t="shared" ca="1" si="8"/>
        <v>#VALUE!</v>
      </c>
      <c r="X73" s="167" t="e">
        <f t="shared" ca="1" si="9"/>
        <v>#VALUE!</v>
      </c>
      <c r="Y73" s="102" t="e">
        <f ca="1">(U73/1000000)*('1a. Spredningsmodell input'!$B$49)*'1a. Spredningsmodell input'!$C$35</f>
        <v>#VALUE!</v>
      </c>
      <c r="Z73" s="37" t="e">
        <f ca="1">(V73/1000000)*('1a. Spredningsmodell input'!$B$49)*'1a. Spredningsmodell input'!$C$35</f>
        <v>#VALUE!</v>
      </c>
      <c r="AA73" s="37" t="e">
        <f t="shared" ca="1" si="10"/>
        <v>#VALUE!</v>
      </c>
      <c r="AB73" s="1" t="e">
        <f t="shared" ca="1" si="20"/>
        <v>#VALUE!</v>
      </c>
      <c r="AC73" s="37" t="e">
        <f t="shared" ca="1" si="21"/>
        <v>#VALUE!</v>
      </c>
      <c r="AD73"/>
      <c r="AG73" s="45"/>
      <c r="AH73" s="1"/>
      <c r="AI73" s="22"/>
      <c r="AL73"/>
    </row>
    <row r="74" spans="7:38" x14ac:dyDescent="0.35">
      <c r="G74">
        <v>275</v>
      </c>
      <c r="H74">
        <f>'1a. Spredningsmodell input'!$I$2+G74</f>
        <v>275</v>
      </c>
      <c r="I74" t="e">
        <f t="shared" ca="1" si="5"/>
        <v>#VALUE!</v>
      </c>
      <c r="J74" t="e">
        <f t="shared" ca="1" si="6"/>
        <v>#VALUE!</v>
      </c>
      <c r="K74" t="e">
        <f t="shared" ca="1" si="11"/>
        <v>#VALUE!</v>
      </c>
      <c r="L74" t="e">
        <f t="shared" ca="1" si="12"/>
        <v>#VALUE!</v>
      </c>
      <c r="M74" t="e">
        <f t="shared" ca="1" si="7"/>
        <v>#VALUE!</v>
      </c>
      <c r="N74" s="22" t="e">
        <f t="shared" ca="1" si="13"/>
        <v>#VALUE!</v>
      </c>
      <c r="O74" t="e">
        <f t="shared" ca="1" si="14"/>
        <v>#VALUE!</v>
      </c>
      <c r="P74" s="18" t="e">
        <f t="shared" ca="1" si="15"/>
        <v>#VALUE!</v>
      </c>
      <c r="Q74" s="18" t="e">
        <f t="shared" ca="1" si="22"/>
        <v>#VALUE!</v>
      </c>
      <c r="R74" s="19" t="e">
        <f t="shared" ca="1" si="16"/>
        <v>#VALUE!</v>
      </c>
      <c r="S74" s="10" t="e">
        <f t="shared" ca="1" si="17"/>
        <v>#VALUE!</v>
      </c>
      <c r="T74" s="10" t="e">
        <f t="shared" ca="1" si="18"/>
        <v>#VALUE!</v>
      </c>
      <c r="U74" s="45" t="e">
        <f t="shared" ca="1" si="19"/>
        <v>#VALUE!</v>
      </c>
      <c r="V74" s="180" t="e">
        <f ca="1">Q74*1000000000/($B$22*'1a. Spredningsmodell input'!$C$26*1000)</f>
        <v>#VALUE!</v>
      </c>
      <c r="W74" s="44" t="e">
        <f t="shared" ca="1" si="8"/>
        <v>#VALUE!</v>
      </c>
      <c r="X74" s="167" t="e">
        <f t="shared" ca="1" si="9"/>
        <v>#VALUE!</v>
      </c>
      <c r="Y74" s="102" t="e">
        <f ca="1">(U74/1000000)*('1a. Spredningsmodell input'!$B$49)*'1a. Spredningsmodell input'!$C$35</f>
        <v>#VALUE!</v>
      </c>
      <c r="Z74" s="37" t="e">
        <f ca="1">(V74/1000000)*('1a. Spredningsmodell input'!$B$49)*'1a. Spredningsmodell input'!$C$35</f>
        <v>#VALUE!</v>
      </c>
      <c r="AA74" s="37" t="e">
        <f t="shared" ca="1" si="10"/>
        <v>#VALUE!</v>
      </c>
      <c r="AB74" s="1" t="e">
        <f t="shared" ca="1" si="20"/>
        <v>#VALUE!</v>
      </c>
      <c r="AC74" s="37" t="e">
        <f t="shared" ca="1" si="21"/>
        <v>#VALUE!</v>
      </c>
      <c r="AD74"/>
      <c r="AG74" s="45"/>
      <c r="AH74" s="1"/>
      <c r="AI74" s="22"/>
      <c r="AL74"/>
    </row>
    <row r="75" spans="7:38" x14ac:dyDescent="0.35">
      <c r="G75">
        <v>280</v>
      </c>
      <c r="H75">
        <f>'1a. Spredningsmodell input'!$I$2+G75</f>
        <v>280</v>
      </c>
      <c r="I75" t="e">
        <f t="shared" ca="1" si="5"/>
        <v>#VALUE!</v>
      </c>
      <c r="J75" t="e">
        <f t="shared" ca="1" si="6"/>
        <v>#VALUE!</v>
      </c>
      <c r="K75" t="e">
        <f t="shared" ca="1" si="11"/>
        <v>#VALUE!</v>
      </c>
      <c r="L75" t="e">
        <f t="shared" ca="1" si="12"/>
        <v>#VALUE!</v>
      </c>
      <c r="M75" t="e">
        <f t="shared" ca="1" si="7"/>
        <v>#VALUE!</v>
      </c>
      <c r="N75" s="22" t="e">
        <f t="shared" ca="1" si="13"/>
        <v>#VALUE!</v>
      </c>
      <c r="O75" t="e">
        <f t="shared" ca="1" si="14"/>
        <v>#VALUE!</v>
      </c>
      <c r="P75" s="18" t="e">
        <f t="shared" ca="1" si="15"/>
        <v>#VALUE!</v>
      </c>
      <c r="Q75" s="18" t="e">
        <f t="shared" ca="1" si="22"/>
        <v>#VALUE!</v>
      </c>
      <c r="R75" s="19" t="e">
        <f t="shared" ca="1" si="16"/>
        <v>#VALUE!</v>
      </c>
      <c r="S75" s="10" t="e">
        <f t="shared" ca="1" si="17"/>
        <v>#VALUE!</v>
      </c>
      <c r="T75" s="10" t="e">
        <f t="shared" ca="1" si="18"/>
        <v>#VALUE!</v>
      </c>
      <c r="U75" s="45" t="e">
        <f t="shared" ca="1" si="19"/>
        <v>#VALUE!</v>
      </c>
      <c r="V75" s="180" t="e">
        <f ca="1">Q75*1000000000/($B$22*'1a. Spredningsmodell input'!$C$26*1000)</f>
        <v>#VALUE!</v>
      </c>
      <c r="W75" s="44" t="e">
        <f t="shared" ca="1" si="8"/>
        <v>#VALUE!</v>
      </c>
      <c r="X75" s="167" t="e">
        <f t="shared" ca="1" si="9"/>
        <v>#VALUE!</v>
      </c>
      <c r="Y75" s="102" t="e">
        <f ca="1">(U75/1000000)*('1a. Spredningsmodell input'!$B$49)*'1a. Spredningsmodell input'!$C$35</f>
        <v>#VALUE!</v>
      </c>
      <c r="Z75" s="37" t="e">
        <f ca="1">(V75/1000000)*('1a. Spredningsmodell input'!$B$49)*'1a. Spredningsmodell input'!$C$35</f>
        <v>#VALUE!</v>
      </c>
      <c r="AA75" s="37" t="e">
        <f t="shared" ca="1" si="10"/>
        <v>#VALUE!</v>
      </c>
      <c r="AB75" s="1" t="e">
        <f t="shared" ca="1" si="20"/>
        <v>#VALUE!</v>
      </c>
      <c r="AC75" s="37" t="e">
        <f t="shared" ca="1" si="21"/>
        <v>#VALUE!</v>
      </c>
      <c r="AD75"/>
      <c r="AG75" s="45"/>
      <c r="AH75" s="1"/>
      <c r="AI75" s="22"/>
      <c r="AL75"/>
    </row>
    <row r="76" spans="7:38" x14ac:dyDescent="0.35">
      <c r="G76">
        <v>285</v>
      </c>
      <c r="H76">
        <f>'1a. Spredningsmodell input'!$I$2+G76</f>
        <v>285</v>
      </c>
      <c r="I76" t="e">
        <f t="shared" ca="1" si="5"/>
        <v>#VALUE!</v>
      </c>
      <c r="J76" t="e">
        <f t="shared" ca="1" si="6"/>
        <v>#VALUE!</v>
      </c>
      <c r="K76" t="e">
        <f t="shared" ca="1" si="11"/>
        <v>#VALUE!</v>
      </c>
      <c r="L76" t="e">
        <f t="shared" ca="1" si="12"/>
        <v>#VALUE!</v>
      </c>
      <c r="M76" t="e">
        <f t="shared" ca="1" si="7"/>
        <v>#VALUE!</v>
      </c>
      <c r="N76" s="22" t="e">
        <f t="shared" ca="1" si="13"/>
        <v>#VALUE!</v>
      </c>
      <c r="O76" t="e">
        <f t="shared" ca="1" si="14"/>
        <v>#VALUE!</v>
      </c>
      <c r="P76" s="18" t="e">
        <f t="shared" ca="1" si="15"/>
        <v>#VALUE!</v>
      </c>
      <c r="Q76" s="18" t="e">
        <f t="shared" ca="1" si="22"/>
        <v>#VALUE!</v>
      </c>
      <c r="R76" s="19" t="e">
        <f t="shared" ca="1" si="16"/>
        <v>#VALUE!</v>
      </c>
      <c r="S76" s="10" t="e">
        <f t="shared" ca="1" si="17"/>
        <v>#VALUE!</v>
      </c>
      <c r="T76" s="10" t="e">
        <f t="shared" ca="1" si="18"/>
        <v>#VALUE!</v>
      </c>
      <c r="U76" s="45" t="e">
        <f t="shared" ca="1" si="19"/>
        <v>#VALUE!</v>
      </c>
      <c r="V76" s="180" t="e">
        <f ca="1">Q76*1000000000/($B$22*'1a. Spredningsmodell input'!$C$26*1000)</f>
        <v>#VALUE!</v>
      </c>
      <c r="W76" s="44" t="e">
        <f t="shared" ca="1" si="8"/>
        <v>#VALUE!</v>
      </c>
      <c r="X76" s="167" t="e">
        <f t="shared" ca="1" si="9"/>
        <v>#VALUE!</v>
      </c>
      <c r="Y76" s="102" t="e">
        <f ca="1">(U76/1000000)*('1a. Spredningsmodell input'!$B$49)*'1a. Spredningsmodell input'!$C$35</f>
        <v>#VALUE!</v>
      </c>
      <c r="Z76" s="37" t="e">
        <f ca="1">(V76/1000000)*('1a. Spredningsmodell input'!$B$49)*'1a. Spredningsmodell input'!$C$35</f>
        <v>#VALUE!</v>
      </c>
      <c r="AA76" s="37" t="e">
        <f t="shared" ca="1" si="10"/>
        <v>#VALUE!</v>
      </c>
      <c r="AB76" s="1" t="e">
        <f t="shared" ca="1" si="20"/>
        <v>#VALUE!</v>
      </c>
      <c r="AC76" s="37" t="e">
        <f t="shared" ca="1" si="21"/>
        <v>#VALUE!</v>
      </c>
      <c r="AD76"/>
      <c r="AG76" s="45"/>
      <c r="AH76" s="1"/>
      <c r="AI76" s="22"/>
      <c r="AL76"/>
    </row>
    <row r="77" spans="7:38" x14ac:dyDescent="0.35">
      <c r="G77">
        <v>290</v>
      </c>
      <c r="H77">
        <f>'1a. Spredningsmodell input'!$I$2+G77</f>
        <v>290</v>
      </c>
      <c r="I77" t="e">
        <f t="shared" ca="1" si="5"/>
        <v>#VALUE!</v>
      </c>
      <c r="J77" t="e">
        <f t="shared" ca="1" si="6"/>
        <v>#VALUE!</v>
      </c>
      <c r="K77" t="e">
        <f t="shared" ca="1" si="11"/>
        <v>#VALUE!</v>
      </c>
      <c r="L77" t="e">
        <f t="shared" ca="1" si="12"/>
        <v>#VALUE!</v>
      </c>
      <c r="M77" t="e">
        <f t="shared" ca="1" si="7"/>
        <v>#VALUE!</v>
      </c>
      <c r="N77" s="22" t="e">
        <f t="shared" ca="1" si="13"/>
        <v>#VALUE!</v>
      </c>
      <c r="O77" t="e">
        <f t="shared" ca="1" si="14"/>
        <v>#VALUE!</v>
      </c>
      <c r="P77" s="18" t="e">
        <f t="shared" ca="1" si="15"/>
        <v>#VALUE!</v>
      </c>
      <c r="Q77" s="18" t="e">
        <f t="shared" ca="1" si="22"/>
        <v>#VALUE!</v>
      </c>
      <c r="R77" s="19" t="e">
        <f t="shared" ca="1" si="16"/>
        <v>#VALUE!</v>
      </c>
      <c r="S77" s="10" t="e">
        <f t="shared" ca="1" si="17"/>
        <v>#VALUE!</v>
      </c>
      <c r="T77" s="10" t="e">
        <f t="shared" ca="1" si="18"/>
        <v>#VALUE!</v>
      </c>
      <c r="U77" s="45" t="e">
        <f t="shared" ca="1" si="19"/>
        <v>#VALUE!</v>
      </c>
      <c r="V77" s="180" t="e">
        <f ca="1">Q77*1000000000/($B$22*'1a. Spredningsmodell input'!$C$26*1000)</f>
        <v>#VALUE!</v>
      </c>
      <c r="W77" s="44" t="e">
        <f t="shared" ca="1" si="8"/>
        <v>#VALUE!</v>
      </c>
      <c r="X77" s="167" t="e">
        <f t="shared" ca="1" si="9"/>
        <v>#VALUE!</v>
      </c>
      <c r="Y77" s="102" t="e">
        <f ca="1">(U77/1000000)*('1a. Spredningsmodell input'!$B$49)*'1a. Spredningsmodell input'!$C$35</f>
        <v>#VALUE!</v>
      </c>
      <c r="Z77" s="37" t="e">
        <f ca="1">(V77/1000000)*('1a. Spredningsmodell input'!$B$49)*'1a. Spredningsmodell input'!$C$35</f>
        <v>#VALUE!</v>
      </c>
      <c r="AA77" s="37" t="e">
        <f t="shared" ca="1" si="10"/>
        <v>#VALUE!</v>
      </c>
      <c r="AB77" s="1" t="e">
        <f t="shared" ca="1" si="20"/>
        <v>#VALUE!</v>
      </c>
      <c r="AC77" s="37" t="e">
        <f t="shared" ca="1" si="21"/>
        <v>#VALUE!</v>
      </c>
      <c r="AD77"/>
      <c r="AG77" s="45"/>
      <c r="AH77" s="1"/>
      <c r="AI77" s="22"/>
      <c r="AL77"/>
    </row>
    <row r="78" spans="7:38" x14ac:dyDescent="0.35">
      <c r="G78">
        <v>295</v>
      </c>
      <c r="H78">
        <f>'1a. Spredningsmodell input'!$I$2+G78</f>
        <v>295</v>
      </c>
      <c r="I78" t="e">
        <f t="shared" ca="1" si="5"/>
        <v>#VALUE!</v>
      </c>
      <c r="J78" t="e">
        <f t="shared" ca="1" si="6"/>
        <v>#VALUE!</v>
      </c>
      <c r="K78" t="e">
        <f t="shared" ca="1" si="11"/>
        <v>#VALUE!</v>
      </c>
      <c r="L78" t="e">
        <f t="shared" ca="1" si="12"/>
        <v>#VALUE!</v>
      </c>
      <c r="M78" t="e">
        <f t="shared" ca="1" si="7"/>
        <v>#VALUE!</v>
      </c>
      <c r="N78" s="22" t="e">
        <f t="shared" ca="1" si="13"/>
        <v>#VALUE!</v>
      </c>
      <c r="O78" t="e">
        <f t="shared" ca="1" si="14"/>
        <v>#VALUE!</v>
      </c>
      <c r="P78" s="18" t="e">
        <f t="shared" ca="1" si="15"/>
        <v>#VALUE!</v>
      </c>
      <c r="Q78" s="18" t="e">
        <f t="shared" ca="1" si="22"/>
        <v>#VALUE!</v>
      </c>
      <c r="R78" s="19" t="e">
        <f t="shared" ca="1" si="16"/>
        <v>#VALUE!</v>
      </c>
      <c r="S78" s="10" t="e">
        <f t="shared" ca="1" si="17"/>
        <v>#VALUE!</v>
      </c>
      <c r="T78" s="10" t="e">
        <f t="shared" ca="1" si="18"/>
        <v>#VALUE!</v>
      </c>
      <c r="U78" s="45" t="e">
        <f t="shared" ca="1" si="19"/>
        <v>#VALUE!</v>
      </c>
      <c r="V78" s="180" t="e">
        <f ca="1">Q78*1000000000/($B$22*'1a. Spredningsmodell input'!$C$26*1000)</f>
        <v>#VALUE!</v>
      </c>
      <c r="W78" s="44" t="e">
        <f t="shared" ca="1" si="8"/>
        <v>#VALUE!</v>
      </c>
      <c r="X78" s="167" t="e">
        <f t="shared" ca="1" si="9"/>
        <v>#VALUE!</v>
      </c>
      <c r="Y78" s="102" t="e">
        <f ca="1">(U78/1000000)*('1a. Spredningsmodell input'!$B$49)*'1a. Spredningsmodell input'!$C$35</f>
        <v>#VALUE!</v>
      </c>
      <c r="Z78" s="37" t="e">
        <f ca="1">(V78/1000000)*('1a. Spredningsmodell input'!$B$49)*'1a. Spredningsmodell input'!$C$35</f>
        <v>#VALUE!</v>
      </c>
      <c r="AA78" s="37" t="e">
        <f t="shared" ca="1" si="10"/>
        <v>#VALUE!</v>
      </c>
      <c r="AB78" s="1" t="e">
        <f t="shared" ca="1" si="20"/>
        <v>#VALUE!</v>
      </c>
      <c r="AC78" s="37" t="e">
        <f t="shared" ca="1" si="21"/>
        <v>#VALUE!</v>
      </c>
      <c r="AD78"/>
      <c r="AG78" s="45"/>
      <c r="AH78" s="1"/>
      <c r="AI78" s="22"/>
      <c r="AL78"/>
    </row>
    <row r="79" spans="7:38" x14ac:dyDescent="0.35">
      <c r="G79">
        <v>300</v>
      </c>
      <c r="H79">
        <f>'1a. Spredningsmodell input'!$I$2+G79</f>
        <v>300</v>
      </c>
      <c r="I79" t="e">
        <f t="shared" ca="1" si="5"/>
        <v>#VALUE!</v>
      </c>
      <c r="J79" t="e">
        <f t="shared" ca="1" si="6"/>
        <v>#VALUE!</v>
      </c>
      <c r="K79" t="e">
        <f t="shared" ca="1" si="11"/>
        <v>#VALUE!</v>
      </c>
      <c r="L79" t="e">
        <f t="shared" ca="1" si="12"/>
        <v>#VALUE!</v>
      </c>
      <c r="M79" t="e">
        <f t="shared" ca="1" si="7"/>
        <v>#VALUE!</v>
      </c>
      <c r="N79" s="22" t="e">
        <f t="shared" ca="1" si="13"/>
        <v>#VALUE!</v>
      </c>
      <c r="O79" t="e">
        <f t="shared" ca="1" si="14"/>
        <v>#VALUE!</v>
      </c>
      <c r="P79" s="18" t="e">
        <f t="shared" ca="1" si="15"/>
        <v>#VALUE!</v>
      </c>
      <c r="Q79" s="18" t="e">
        <f t="shared" ca="1" si="22"/>
        <v>#VALUE!</v>
      </c>
      <c r="R79" s="19" t="e">
        <f t="shared" ca="1" si="16"/>
        <v>#VALUE!</v>
      </c>
      <c r="S79" s="10" t="e">
        <f t="shared" ca="1" si="17"/>
        <v>#VALUE!</v>
      </c>
      <c r="T79" s="10" t="e">
        <f t="shared" ca="1" si="18"/>
        <v>#VALUE!</v>
      </c>
      <c r="U79" s="45" t="e">
        <f t="shared" ca="1" si="19"/>
        <v>#VALUE!</v>
      </c>
      <c r="V79" s="180" t="e">
        <f ca="1">Q79*1000000000/($B$22*'1a. Spredningsmodell input'!$C$26*1000)</f>
        <v>#VALUE!</v>
      </c>
      <c r="W79" s="44" t="e">
        <f t="shared" ca="1" si="8"/>
        <v>#VALUE!</v>
      </c>
      <c r="X79" s="167" t="e">
        <f t="shared" ca="1" si="9"/>
        <v>#VALUE!</v>
      </c>
      <c r="Y79" s="102" t="e">
        <f ca="1">(U79/1000000)*('1a. Spredningsmodell input'!$B$49)*'1a. Spredningsmodell input'!$C$35</f>
        <v>#VALUE!</v>
      </c>
      <c r="Z79" s="37" t="e">
        <f ca="1">(V79/1000000)*('1a. Spredningsmodell input'!$B$49)*'1a. Spredningsmodell input'!$C$35</f>
        <v>#VALUE!</v>
      </c>
      <c r="AA79" s="37" t="e">
        <f t="shared" ca="1" si="10"/>
        <v>#VALUE!</v>
      </c>
      <c r="AB79" s="1" t="e">
        <f t="shared" ca="1" si="20"/>
        <v>#VALUE!</v>
      </c>
      <c r="AC79" s="37" t="e">
        <f t="shared" ca="1" si="21"/>
        <v>#VALUE!</v>
      </c>
      <c r="AD79"/>
      <c r="AG79" s="45"/>
      <c r="AH79" s="1"/>
      <c r="AI79" s="22"/>
      <c r="AL79"/>
    </row>
    <row r="80" spans="7:38" x14ac:dyDescent="0.35">
      <c r="G80">
        <v>305</v>
      </c>
      <c r="H80">
        <f>'1a. Spredningsmodell input'!$I$2+G80</f>
        <v>305</v>
      </c>
      <c r="I80" t="e">
        <f t="shared" ca="1" si="5"/>
        <v>#VALUE!</v>
      </c>
      <c r="J80" t="e">
        <f t="shared" ca="1" si="6"/>
        <v>#VALUE!</v>
      </c>
      <c r="K80" t="e">
        <f t="shared" ca="1" si="11"/>
        <v>#VALUE!</v>
      </c>
      <c r="L80" t="e">
        <f t="shared" ca="1" si="12"/>
        <v>#VALUE!</v>
      </c>
      <c r="M80" t="e">
        <f t="shared" ca="1" si="7"/>
        <v>#VALUE!</v>
      </c>
      <c r="N80" s="22" t="e">
        <f t="shared" ca="1" si="13"/>
        <v>#VALUE!</v>
      </c>
      <c r="O80" t="e">
        <f t="shared" ca="1" si="14"/>
        <v>#VALUE!</v>
      </c>
      <c r="P80" s="18" t="e">
        <f t="shared" ca="1" si="15"/>
        <v>#VALUE!</v>
      </c>
      <c r="Q80" s="18" t="e">
        <f t="shared" ca="1" si="22"/>
        <v>#VALUE!</v>
      </c>
      <c r="R80" s="19" t="e">
        <f t="shared" ca="1" si="16"/>
        <v>#VALUE!</v>
      </c>
      <c r="S80" s="10" t="e">
        <f t="shared" ca="1" si="17"/>
        <v>#VALUE!</v>
      </c>
      <c r="T80" s="10" t="e">
        <f t="shared" ca="1" si="18"/>
        <v>#VALUE!</v>
      </c>
      <c r="U80" s="45" t="e">
        <f t="shared" ca="1" si="19"/>
        <v>#VALUE!</v>
      </c>
      <c r="V80" s="180" t="e">
        <f ca="1">Q80*1000000000/($B$22*'1a. Spredningsmodell input'!$C$26*1000)</f>
        <v>#VALUE!</v>
      </c>
      <c r="W80" s="44" t="e">
        <f t="shared" ca="1" si="8"/>
        <v>#VALUE!</v>
      </c>
      <c r="X80" s="167" t="e">
        <f t="shared" ca="1" si="9"/>
        <v>#VALUE!</v>
      </c>
      <c r="Y80" s="102" t="e">
        <f ca="1">(U80/1000000)*('1a. Spredningsmodell input'!$B$49)*'1a. Spredningsmodell input'!$C$35</f>
        <v>#VALUE!</v>
      </c>
      <c r="Z80" s="37" t="e">
        <f ca="1">(V80/1000000)*('1a. Spredningsmodell input'!$B$49)*'1a. Spredningsmodell input'!$C$35</f>
        <v>#VALUE!</v>
      </c>
      <c r="AA80" s="37" t="e">
        <f t="shared" ca="1" si="10"/>
        <v>#VALUE!</v>
      </c>
      <c r="AB80" s="1" t="e">
        <f t="shared" ca="1" si="20"/>
        <v>#VALUE!</v>
      </c>
      <c r="AC80" s="37" t="e">
        <f t="shared" ca="1" si="21"/>
        <v>#VALUE!</v>
      </c>
      <c r="AD80"/>
      <c r="AG80" s="45"/>
      <c r="AH80" s="1"/>
      <c r="AI80" s="22"/>
      <c r="AL80"/>
    </row>
    <row r="81" spans="7:38" x14ac:dyDescent="0.35">
      <c r="G81">
        <v>310</v>
      </c>
      <c r="H81">
        <f>'1a. Spredningsmodell input'!$I$2+G81</f>
        <v>310</v>
      </c>
      <c r="I81" t="e">
        <f t="shared" ca="1" si="5"/>
        <v>#VALUE!</v>
      </c>
      <c r="J81" t="e">
        <f t="shared" ca="1" si="6"/>
        <v>#VALUE!</v>
      </c>
      <c r="K81" t="e">
        <f t="shared" ca="1" si="11"/>
        <v>#VALUE!</v>
      </c>
      <c r="L81" t="e">
        <f t="shared" ca="1" si="12"/>
        <v>#VALUE!</v>
      </c>
      <c r="M81" t="e">
        <f t="shared" ca="1" si="7"/>
        <v>#VALUE!</v>
      </c>
      <c r="N81" s="22" t="e">
        <f t="shared" ca="1" si="13"/>
        <v>#VALUE!</v>
      </c>
      <c r="O81" t="e">
        <f t="shared" ca="1" si="14"/>
        <v>#VALUE!</v>
      </c>
      <c r="P81" s="18" t="e">
        <f t="shared" ca="1" si="15"/>
        <v>#VALUE!</v>
      </c>
      <c r="Q81" s="18" t="e">
        <f t="shared" ca="1" si="22"/>
        <v>#VALUE!</v>
      </c>
      <c r="R81" s="19" t="e">
        <f t="shared" ca="1" si="16"/>
        <v>#VALUE!</v>
      </c>
      <c r="S81" s="10" t="e">
        <f t="shared" ca="1" si="17"/>
        <v>#VALUE!</v>
      </c>
      <c r="T81" s="10" t="e">
        <f t="shared" ca="1" si="18"/>
        <v>#VALUE!</v>
      </c>
      <c r="U81" s="45" t="e">
        <f t="shared" ca="1" si="19"/>
        <v>#VALUE!</v>
      </c>
      <c r="V81" s="180" t="e">
        <f ca="1">Q81*1000000000/($B$22*'1a. Spredningsmodell input'!$C$26*1000)</f>
        <v>#VALUE!</v>
      </c>
      <c r="W81" s="44" t="e">
        <f t="shared" ca="1" si="8"/>
        <v>#VALUE!</v>
      </c>
      <c r="X81" s="167" t="e">
        <f t="shared" ca="1" si="9"/>
        <v>#VALUE!</v>
      </c>
      <c r="Y81" s="102" t="e">
        <f ca="1">(U81/1000000)*('1a. Spredningsmodell input'!$B$49)*'1a. Spredningsmodell input'!$C$35</f>
        <v>#VALUE!</v>
      </c>
      <c r="Z81" s="37" t="e">
        <f ca="1">(V81/1000000)*('1a. Spredningsmodell input'!$B$49)*'1a. Spredningsmodell input'!$C$35</f>
        <v>#VALUE!</v>
      </c>
      <c r="AA81" s="37" t="e">
        <f t="shared" ca="1" si="10"/>
        <v>#VALUE!</v>
      </c>
      <c r="AB81" s="1" t="e">
        <f t="shared" ca="1" si="20"/>
        <v>#VALUE!</v>
      </c>
      <c r="AC81" s="37" t="e">
        <f t="shared" ca="1" si="21"/>
        <v>#VALUE!</v>
      </c>
      <c r="AD81"/>
      <c r="AG81" s="45"/>
      <c r="AH81" s="1"/>
      <c r="AI81" s="22"/>
      <c r="AL81"/>
    </row>
    <row r="82" spans="7:38" x14ac:dyDescent="0.35">
      <c r="G82">
        <v>315</v>
      </c>
      <c r="H82">
        <f>'1a. Spredningsmodell input'!$I$2+G82</f>
        <v>315</v>
      </c>
      <c r="I82" t="e">
        <f t="shared" ca="1" si="5"/>
        <v>#VALUE!</v>
      </c>
      <c r="J82" t="e">
        <f t="shared" ca="1" si="6"/>
        <v>#VALUE!</v>
      </c>
      <c r="K82" t="e">
        <f t="shared" ca="1" si="11"/>
        <v>#VALUE!</v>
      </c>
      <c r="L82" t="e">
        <f t="shared" ca="1" si="12"/>
        <v>#VALUE!</v>
      </c>
      <c r="M82" t="e">
        <f t="shared" ca="1" si="7"/>
        <v>#VALUE!</v>
      </c>
      <c r="N82" s="22" t="e">
        <f t="shared" ca="1" si="13"/>
        <v>#VALUE!</v>
      </c>
      <c r="O82" t="e">
        <f t="shared" ca="1" si="14"/>
        <v>#VALUE!</v>
      </c>
      <c r="P82" s="18" t="e">
        <f t="shared" ca="1" si="15"/>
        <v>#VALUE!</v>
      </c>
      <c r="Q82" s="18" t="e">
        <f t="shared" ca="1" si="22"/>
        <v>#VALUE!</v>
      </c>
      <c r="R82" s="19" t="e">
        <f t="shared" ca="1" si="16"/>
        <v>#VALUE!</v>
      </c>
      <c r="S82" s="10" t="e">
        <f t="shared" ca="1" si="17"/>
        <v>#VALUE!</v>
      </c>
      <c r="T82" s="10" t="e">
        <f t="shared" ca="1" si="18"/>
        <v>#VALUE!</v>
      </c>
      <c r="U82" s="45" t="e">
        <f t="shared" ca="1" si="19"/>
        <v>#VALUE!</v>
      </c>
      <c r="V82" s="180" t="e">
        <f ca="1">Q82*1000000000/($B$22*'1a. Spredningsmodell input'!$C$26*1000)</f>
        <v>#VALUE!</v>
      </c>
      <c r="W82" s="44" t="e">
        <f t="shared" ca="1" si="8"/>
        <v>#VALUE!</v>
      </c>
      <c r="X82" s="167" t="e">
        <f t="shared" ca="1" si="9"/>
        <v>#VALUE!</v>
      </c>
      <c r="Y82" s="102" t="e">
        <f ca="1">(U82/1000000)*('1a. Spredningsmodell input'!$B$49)*'1a. Spredningsmodell input'!$C$35</f>
        <v>#VALUE!</v>
      </c>
      <c r="Z82" s="37" t="e">
        <f ca="1">(V82/1000000)*('1a. Spredningsmodell input'!$B$49)*'1a. Spredningsmodell input'!$C$35</f>
        <v>#VALUE!</v>
      </c>
      <c r="AA82" s="37" t="e">
        <f t="shared" ca="1" si="10"/>
        <v>#VALUE!</v>
      </c>
      <c r="AB82" s="1" t="e">
        <f t="shared" ca="1" si="20"/>
        <v>#VALUE!</v>
      </c>
      <c r="AC82" s="37" t="e">
        <f t="shared" ca="1" si="21"/>
        <v>#VALUE!</v>
      </c>
      <c r="AD82"/>
      <c r="AG82" s="45"/>
      <c r="AH82" s="1"/>
      <c r="AI82" s="22"/>
      <c r="AL82"/>
    </row>
    <row r="83" spans="7:38" x14ac:dyDescent="0.35">
      <c r="G83">
        <v>320</v>
      </c>
      <c r="H83">
        <f>'1a. Spredningsmodell input'!$I$2+G83</f>
        <v>320</v>
      </c>
      <c r="I83" t="e">
        <f t="shared" ref="I83:I146" ca="1" si="23">($B$18-$B$24*$B$18)*EXP(-($B$33+$B$34)*$G83)</f>
        <v>#VALUE!</v>
      </c>
      <c r="J83" t="e">
        <f t="shared" ref="J83:J146" ca="1" si="24">($B$24*$B$18)*EXP(-($B$32)*$G83)</f>
        <v>#VALUE!</v>
      </c>
      <c r="K83" t="e">
        <f t="shared" ref="K83:K146" ca="1" si="25">(($I83+$J83)*1000000000)/($B$21*1000)</f>
        <v>#VALUE!</v>
      </c>
      <c r="L83" t="e">
        <f t="shared" ca="1" si="12"/>
        <v>#VALUE!</v>
      </c>
      <c r="M83" t="e">
        <f t="shared" ref="M83:M146" ca="1" si="26">1000*L83/$B$26</f>
        <v>#VALUE!</v>
      </c>
      <c r="N83" s="22" t="e">
        <f t="shared" ref="N83:N146" ca="1" si="27">($B$18-$B$24*$B$18-I83)*($B$33/($B$33+$B$34))</f>
        <v>#VALUE!</v>
      </c>
      <c r="O83" t="e">
        <f t="shared" ref="O83:O146" ca="1" si="28">($B$24*$B$18)-J83</f>
        <v>#VALUE!</v>
      </c>
      <c r="P83" s="18" t="e">
        <f t="shared" ref="P83:P146" ca="1" si="29">($B$19+N83)*EXP(-($B$37+$B$38)*$G83)</f>
        <v>#VALUE!</v>
      </c>
      <c r="Q83" s="18" t="e">
        <f t="shared" ref="Q83:Q146" ca="1" si="30">($B$24*$B$19+O83)*EXP(-($B$36)*$G83)</f>
        <v>#VALUE!</v>
      </c>
      <c r="R83" s="19" t="e">
        <f t="shared" ref="R83:R146" ca="1" si="31">(($P83+$Q83)*1000000000)/($B$22*1000)</f>
        <v>#VALUE!</v>
      </c>
      <c r="S83" s="10" t="e">
        <f t="shared" ref="S83:S146" ca="1" si="32">0.001*R83/($B$30+1/$B$29)</f>
        <v>#VALUE!</v>
      </c>
      <c r="T83" s="10" t="e">
        <f t="shared" ref="T83:T146" ca="1" si="33">1000*S83/$B$29+Q83*1000000000/($B$22*1000)</f>
        <v>#VALUE!</v>
      </c>
      <c r="U83" s="45" t="e">
        <f t="shared" ref="U83:U146" ca="1" si="34">1000*S83/$B$29</f>
        <v>#VALUE!</v>
      </c>
      <c r="V83" s="180" t="e">
        <f ca="1">Q83*1000000000/($B$22*'1a. Spredningsmodell input'!$C$26*1000)</f>
        <v>#VALUE!</v>
      </c>
      <c r="W83" s="44" t="e">
        <f t="shared" ref="W83:W146" ca="1" si="35">($B$20+$B$39*($B$19+$B$35*($B$18*(1-$B$24))*(1-EXP(-($B$33+$B$34)*G83)))*(1-EXP(-($B$37+$B$38)*G83)))</f>
        <v>#VALUE!</v>
      </c>
      <c r="X83" s="167" t="e">
        <f t="shared" ref="X83:X146" ca="1" si="36">((($B$18*($B$24))*(1-EXP(-($B$32)*G83)))*(1-EXP(-($B$36)*G83)))</f>
        <v>#VALUE!</v>
      </c>
      <c r="Y83" s="102" t="e">
        <f ca="1">(U83/1000000)*('1a. Spredningsmodell input'!$B$49)*'1a. Spredningsmodell input'!$C$35</f>
        <v>#VALUE!</v>
      </c>
      <c r="Z83" s="37" t="e">
        <f ca="1">(V83/1000000)*('1a. Spredningsmodell input'!$B$49)*'1a. Spredningsmodell input'!$C$35</f>
        <v>#VALUE!</v>
      </c>
      <c r="AA83" s="37" t="e">
        <f t="shared" ref="AA83:AA146" ca="1" si="37">($B$20)*EXP(-($B$42+$B$41)*$G83)+Y83*EXP(-($B$42)*$B$50)</f>
        <v>#VALUE!</v>
      </c>
      <c r="AB83" s="1" t="e">
        <f t="shared" ref="AB83:AB146" ca="1" si="38">Z83+($B$24*$B$20)*EXP(-($B$40)*$G83)</f>
        <v>#VALUE!</v>
      </c>
      <c r="AC83" s="37" t="e">
        <f t="shared" ref="AC83:AC146" ca="1" si="39">(AA83+AB83)*1000000000/($B$23*1000)</f>
        <v>#VALUE!</v>
      </c>
      <c r="AD83"/>
      <c r="AG83" s="45"/>
      <c r="AH83" s="1"/>
      <c r="AI83" s="22"/>
      <c r="AL83"/>
    </row>
    <row r="84" spans="7:38" x14ac:dyDescent="0.35">
      <c r="G84">
        <v>325</v>
      </c>
      <c r="H84">
        <f>'1a. Spredningsmodell input'!$I$2+G84</f>
        <v>325</v>
      </c>
      <c r="I84" t="e">
        <f t="shared" ca="1" si="23"/>
        <v>#VALUE!</v>
      </c>
      <c r="J84" t="e">
        <f t="shared" ca="1" si="24"/>
        <v>#VALUE!</v>
      </c>
      <c r="K84" t="e">
        <f t="shared" ca="1" si="25"/>
        <v>#VALUE!</v>
      </c>
      <c r="L84" t="e">
        <f t="shared" ref="L84:L147" ca="1" si="40">0.001*K84/($B$27+$B$28/$B$26)</f>
        <v>#VALUE!</v>
      </c>
      <c r="M84" t="e">
        <f t="shared" ca="1" si="26"/>
        <v>#VALUE!</v>
      </c>
      <c r="N84" s="22" t="e">
        <f t="shared" ca="1" si="27"/>
        <v>#VALUE!</v>
      </c>
      <c r="O84" t="e">
        <f t="shared" ca="1" si="28"/>
        <v>#VALUE!</v>
      </c>
      <c r="P84" s="18" t="e">
        <f t="shared" ca="1" si="29"/>
        <v>#VALUE!</v>
      </c>
      <c r="Q84" s="18" t="e">
        <f t="shared" ca="1" si="30"/>
        <v>#VALUE!</v>
      </c>
      <c r="R84" s="19" t="e">
        <f t="shared" ca="1" si="31"/>
        <v>#VALUE!</v>
      </c>
      <c r="S84" s="10" t="e">
        <f t="shared" ca="1" si="32"/>
        <v>#VALUE!</v>
      </c>
      <c r="T84" s="10" t="e">
        <f t="shared" ca="1" si="33"/>
        <v>#VALUE!</v>
      </c>
      <c r="U84" s="45" t="e">
        <f t="shared" ca="1" si="34"/>
        <v>#VALUE!</v>
      </c>
      <c r="V84" s="180" t="e">
        <f ca="1">Q84*1000000000/($B$22*'1a. Spredningsmodell input'!$C$26*1000)</f>
        <v>#VALUE!</v>
      </c>
      <c r="W84" s="44" t="e">
        <f t="shared" ca="1" si="35"/>
        <v>#VALUE!</v>
      </c>
      <c r="X84" s="167" t="e">
        <f t="shared" ca="1" si="36"/>
        <v>#VALUE!</v>
      </c>
      <c r="Y84" s="102" t="e">
        <f ca="1">(U84/1000000)*('1a. Spredningsmodell input'!$B$49)*'1a. Spredningsmodell input'!$C$35</f>
        <v>#VALUE!</v>
      </c>
      <c r="Z84" s="37" t="e">
        <f ca="1">(V84/1000000)*('1a. Spredningsmodell input'!$B$49)*'1a. Spredningsmodell input'!$C$35</f>
        <v>#VALUE!</v>
      </c>
      <c r="AA84" s="37" t="e">
        <f t="shared" ca="1" si="37"/>
        <v>#VALUE!</v>
      </c>
      <c r="AB84" s="1" t="e">
        <f t="shared" ca="1" si="38"/>
        <v>#VALUE!</v>
      </c>
      <c r="AC84" s="37" t="e">
        <f t="shared" ca="1" si="39"/>
        <v>#VALUE!</v>
      </c>
      <c r="AD84"/>
      <c r="AG84" s="45"/>
      <c r="AH84" s="1"/>
      <c r="AI84" s="22"/>
      <c r="AL84"/>
    </row>
    <row r="85" spans="7:38" x14ac:dyDescent="0.35">
      <c r="G85">
        <v>330</v>
      </c>
      <c r="H85">
        <f>'1a. Spredningsmodell input'!$I$2+G85</f>
        <v>330</v>
      </c>
      <c r="I85" t="e">
        <f t="shared" ca="1" si="23"/>
        <v>#VALUE!</v>
      </c>
      <c r="J85" t="e">
        <f t="shared" ca="1" si="24"/>
        <v>#VALUE!</v>
      </c>
      <c r="K85" t="e">
        <f t="shared" ca="1" si="25"/>
        <v>#VALUE!</v>
      </c>
      <c r="L85" t="e">
        <f t="shared" ca="1" si="40"/>
        <v>#VALUE!</v>
      </c>
      <c r="M85" t="e">
        <f t="shared" ca="1" si="26"/>
        <v>#VALUE!</v>
      </c>
      <c r="N85" s="22" t="e">
        <f t="shared" ca="1" si="27"/>
        <v>#VALUE!</v>
      </c>
      <c r="O85" t="e">
        <f t="shared" ca="1" si="28"/>
        <v>#VALUE!</v>
      </c>
      <c r="P85" s="18" t="e">
        <f t="shared" ca="1" si="29"/>
        <v>#VALUE!</v>
      </c>
      <c r="Q85" s="18" t="e">
        <f t="shared" ca="1" si="30"/>
        <v>#VALUE!</v>
      </c>
      <c r="R85" s="19" t="e">
        <f t="shared" ca="1" si="31"/>
        <v>#VALUE!</v>
      </c>
      <c r="S85" s="10" t="e">
        <f t="shared" ca="1" si="32"/>
        <v>#VALUE!</v>
      </c>
      <c r="T85" s="10" t="e">
        <f t="shared" ca="1" si="33"/>
        <v>#VALUE!</v>
      </c>
      <c r="U85" s="45" t="e">
        <f t="shared" ca="1" si="34"/>
        <v>#VALUE!</v>
      </c>
      <c r="V85" s="180" t="e">
        <f ca="1">Q85*1000000000/($B$22*'1a. Spredningsmodell input'!$C$26*1000)</f>
        <v>#VALUE!</v>
      </c>
      <c r="W85" s="44" t="e">
        <f t="shared" ca="1" si="35"/>
        <v>#VALUE!</v>
      </c>
      <c r="X85" s="167" t="e">
        <f t="shared" ca="1" si="36"/>
        <v>#VALUE!</v>
      </c>
      <c r="Y85" s="102" t="e">
        <f ca="1">(U85/1000000)*('1a. Spredningsmodell input'!$B$49)*'1a. Spredningsmodell input'!$C$35</f>
        <v>#VALUE!</v>
      </c>
      <c r="Z85" s="37" t="e">
        <f ca="1">(V85/1000000)*('1a. Spredningsmodell input'!$B$49)*'1a. Spredningsmodell input'!$C$35</f>
        <v>#VALUE!</v>
      </c>
      <c r="AA85" s="37" t="e">
        <f t="shared" ca="1" si="37"/>
        <v>#VALUE!</v>
      </c>
      <c r="AB85" s="1" t="e">
        <f t="shared" ca="1" si="38"/>
        <v>#VALUE!</v>
      </c>
      <c r="AC85" s="37" t="e">
        <f t="shared" ca="1" si="39"/>
        <v>#VALUE!</v>
      </c>
      <c r="AD85"/>
      <c r="AG85" s="45"/>
      <c r="AH85" s="1"/>
      <c r="AI85" s="22"/>
      <c r="AL85"/>
    </row>
    <row r="86" spans="7:38" x14ac:dyDescent="0.35">
      <c r="G86">
        <v>335</v>
      </c>
      <c r="H86">
        <f>'1a. Spredningsmodell input'!$I$2+G86</f>
        <v>335</v>
      </c>
      <c r="I86" t="e">
        <f t="shared" ca="1" si="23"/>
        <v>#VALUE!</v>
      </c>
      <c r="J86" t="e">
        <f t="shared" ca="1" si="24"/>
        <v>#VALUE!</v>
      </c>
      <c r="K86" t="e">
        <f t="shared" ca="1" si="25"/>
        <v>#VALUE!</v>
      </c>
      <c r="L86" t="e">
        <f t="shared" ca="1" si="40"/>
        <v>#VALUE!</v>
      </c>
      <c r="M86" t="e">
        <f t="shared" ca="1" si="26"/>
        <v>#VALUE!</v>
      </c>
      <c r="N86" s="22" t="e">
        <f t="shared" ca="1" si="27"/>
        <v>#VALUE!</v>
      </c>
      <c r="O86" t="e">
        <f t="shared" ca="1" si="28"/>
        <v>#VALUE!</v>
      </c>
      <c r="P86" s="18" t="e">
        <f t="shared" ca="1" si="29"/>
        <v>#VALUE!</v>
      </c>
      <c r="Q86" s="18" t="e">
        <f t="shared" ca="1" si="30"/>
        <v>#VALUE!</v>
      </c>
      <c r="R86" s="19" t="e">
        <f t="shared" ca="1" si="31"/>
        <v>#VALUE!</v>
      </c>
      <c r="S86" s="10" t="e">
        <f t="shared" ca="1" si="32"/>
        <v>#VALUE!</v>
      </c>
      <c r="T86" s="10" t="e">
        <f t="shared" ca="1" si="33"/>
        <v>#VALUE!</v>
      </c>
      <c r="U86" s="45" t="e">
        <f t="shared" ca="1" si="34"/>
        <v>#VALUE!</v>
      </c>
      <c r="V86" s="180" t="e">
        <f ca="1">Q86*1000000000/($B$22*'1a. Spredningsmodell input'!$C$26*1000)</f>
        <v>#VALUE!</v>
      </c>
      <c r="W86" s="44" t="e">
        <f t="shared" ca="1" si="35"/>
        <v>#VALUE!</v>
      </c>
      <c r="X86" s="167" t="e">
        <f t="shared" ca="1" si="36"/>
        <v>#VALUE!</v>
      </c>
      <c r="Y86" s="102" t="e">
        <f ca="1">(U86/1000000)*('1a. Spredningsmodell input'!$B$49)*'1a. Spredningsmodell input'!$C$35</f>
        <v>#VALUE!</v>
      </c>
      <c r="Z86" s="37" t="e">
        <f ca="1">(V86/1000000)*('1a. Spredningsmodell input'!$B$49)*'1a. Spredningsmodell input'!$C$35</f>
        <v>#VALUE!</v>
      </c>
      <c r="AA86" s="37" t="e">
        <f t="shared" ca="1" si="37"/>
        <v>#VALUE!</v>
      </c>
      <c r="AB86" s="1" t="e">
        <f t="shared" ca="1" si="38"/>
        <v>#VALUE!</v>
      </c>
      <c r="AC86" s="37" t="e">
        <f t="shared" ca="1" si="39"/>
        <v>#VALUE!</v>
      </c>
      <c r="AD86"/>
      <c r="AG86" s="45"/>
      <c r="AH86" s="1"/>
      <c r="AI86" s="22"/>
      <c r="AL86"/>
    </row>
    <row r="87" spans="7:38" x14ac:dyDescent="0.35">
      <c r="G87">
        <v>340</v>
      </c>
      <c r="H87">
        <f>'1a. Spredningsmodell input'!$I$2+G87</f>
        <v>340</v>
      </c>
      <c r="I87" t="e">
        <f t="shared" ca="1" si="23"/>
        <v>#VALUE!</v>
      </c>
      <c r="J87" t="e">
        <f t="shared" ca="1" si="24"/>
        <v>#VALUE!</v>
      </c>
      <c r="K87" t="e">
        <f t="shared" ca="1" si="25"/>
        <v>#VALUE!</v>
      </c>
      <c r="L87" t="e">
        <f t="shared" ca="1" si="40"/>
        <v>#VALUE!</v>
      </c>
      <c r="M87" t="e">
        <f t="shared" ca="1" si="26"/>
        <v>#VALUE!</v>
      </c>
      <c r="N87" s="22" t="e">
        <f t="shared" ca="1" si="27"/>
        <v>#VALUE!</v>
      </c>
      <c r="O87" t="e">
        <f t="shared" ca="1" si="28"/>
        <v>#VALUE!</v>
      </c>
      <c r="P87" s="18" t="e">
        <f t="shared" ca="1" si="29"/>
        <v>#VALUE!</v>
      </c>
      <c r="Q87" s="18" t="e">
        <f t="shared" ca="1" si="30"/>
        <v>#VALUE!</v>
      </c>
      <c r="R87" s="19" t="e">
        <f t="shared" ca="1" si="31"/>
        <v>#VALUE!</v>
      </c>
      <c r="S87" s="10" t="e">
        <f t="shared" ca="1" si="32"/>
        <v>#VALUE!</v>
      </c>
      <c r="T87" s="10" t="e">
        <f t="shared" ca="1" si="33"/>
        <v>#VALUE!</v>
      </c>
      <c r="U87" s="45" t="e">
        <f t="shared" ca="1" si="34"/>
        <v>#VALUE!</v>
      </c>
      <c r="V87" s="180" t="e">
        <f ca="1">Q87*1000000000/($B$22*'1a. Spredningsmodell input'!$C$26*1000)</f>
        <v>#VALUE!</v>
      </c>
      <c r="W87" s="44" t="e">
        <f t="shared" ca="1" si="35"/>
        <v>#VALUE!</v>
      </c>
      <c r="X87" s="167" t="e">
        <f t="shared" ca="1" si="36"/>
        <v>#VALUE!</v>
      </c>
      <c r="Y87" s="102" t="e">
        <f ca="1">(U87/1000000)*('1a. Spredningsmodell input'!$B$49)*'1a. Spredningsmodell input'!$C$35</f>
        <v>#VALUE!</v>
      </c>
      <c r="Z87" s="37" t="e">
        <f ca="1">(V87/1000000)*('1a. Spredningsmodell input'!$B$49)*'1a. Spredningsmodell input'!$C$35</f>
        <v>#VALUE!</v>
      </c>
      <c r="AA87" s="37" t="e">
        <f t="shared" ca="1" si="37"/>
        <v>#VALUE!</v>
      </c>
      <c r="AB87" s="1" t="e">
        <f t="shared" ca="1" si="38"/>
        <v>#VALUE!</v>
      </c>
      <c r="AC87" s="37" t="e">
        <f t="shared" ca="1" si="39"/>
        <v>#VALUE!</v>
      </c>
      <c r="AD87"/>
      <c r="AG87" s="45"/>
      <c r="AH87" s="1"/>
      <c r="AI87" s="22"/>
      <c r="AL87"/>
    </row>
    <row r="88" spans="7:38" x14ac:dyDescent="0.35">
      <c r="G88">
        <v>345</v>
      </c>
      <c r="H88">
        <f>'1a. Spredningsmodell input'!$I$2+G88</f>
        <v>345</v>
      </c>
      <c r="I88" t="e">
        <f t="shared" ca="1" si="23"/>
        <v>#VALUE!</v>
      </c>
      <c r="J88" t="e">
        <f t="shared" ca="1" si="24"/>
        <v>#VALUE!</v>
      </c>
      <c r="K88" t="e">
        <f t="shared" ca="1" si="25"/>
        <v>#VALUE!</v>
      </c>
      <c r="L88" t="e">
        <f t="shared" ca="1" si="40"/>
        <v>#VALUE!</v>
      </c>
      <c r="M88" t="e">
        <f t="shared" ca="1" si="26"/>
        <v>#VALUE!</v>
      </c>
      <c r="N88" s="22" t="e">
        <f t="shared" ca="1" si="27"/>
        <v>#VALUE!</v>
      </c>
      <c r="O88" t="e">
        <f t="shared" ca="1" si="28"/>
        <v>#VALUE!</v>
      </c>
      <c r="P88" s="18" t="e">
        <f t="shared" ca="1" si="29"/>
        <v>#VALUE!</v>
      </c>
      <c r="Q88" s="18" t="e">
        <f t="shared" ca="1" si="30"/>
        <v>#VALUE!</v>
      </c>
      <c r="R88" s="19" t="e">
        <f t="shared" ca="1" si="31"/>
        <v>#VALUE!</v>
      </c>
      <c r="S88" s="10" t="e">
        <f t="shared" ca="1" si="32"/>
        <v>#VALUE!</v>
      </c>
      <c r="T88" s="10" t="e">
        <f t="shared" ca="1" si="33"/>
        <v>#VALUE!</v>
      </c>
      <c r="U88" s="45" t="e">
        <f t="shared" ca="1" si="34"/>
        <v>#VALUE!</v>
      </c>
      <c r="V88" s="180" t="e">
        <f ca="1">Q88*1000000000/($B$22*'1a. Spredningsmodell input'!$C$26*1000)</f>
        <v>#VALUE!</v>
      </c>
      <c r="W88" s="44" t="e">
        <f t="shared" ca="1" si="35"/>
        <v>#VALUE!</v>
      </c>
      <c r="X88" s="167" t="e">
        <f t="shared" ca="1" si="36"/>
        <v>#VALUE!</v>
      </c>
      <c r="Y88" s="102" t="e">
        <f ca="1">(U88/1000000)*('1a. Spredningsmodell input'!$B$49)*'1a. Spredningsmodell input'!$C$35</f>
        <v>#VALUE!</v>
      </c>
      <c r="Z88" s="37" t="e">
        <f ca="1">(V88/1000000)*('1a. Spredningsmodell input'!$B$49)*'1a. Spredningsmodell input'!$C$35</f>
        <v>#VALUE!</v>
      </c>
      <c r="AA88" s="37" t="e">
        <f t="shared" ca="1" si="37"/>
        <v>#VALUE!</v>
      </c>
      <c r="AB88" s="1" t="e">
        <f t="shared" ca="1" si="38"/>
        <v>#VALUE!</v>
      </c>
      <c r="AC88" s="37" t="e">
        <f t="shared" ca="1" si="39"/>
        <v>#VALUE!</v>
      </c>
      <c r="AD88"/>
      <c r="AG88" s="45"/>
      <c r="AH88" s="1"/>
      <c r="AI88" s="22"/>
      <c r="AL88"/>
    </row>
    <row r="89" spans="7:38" x14ac:dyDescent="0.35">
      <c r="G89">
        <v>350</v>
      </c>
      <c r="H89">
        <f>'1a. Spredningsmodell input'!$I$2+G89</f>
        <v>350</v>
      </c>
      <c r="I89" t="e">
        <f t="shared" ca="1" si="23"/>
        <v>#VALUE!</v>
      </c>
      <c r="J89" t="e">
        <f t="shared" ca="1" si="24"/>
        <v>#VALUE!</v>
      </c>
      <c r="K89" t="e">
        <f t="shared" ca="1" si="25"/>
        <v>#VALUE!</v>
      </c>
      <c r="L89" t="e">
        <f t="shared" ca="1" si="40"/>
        <v>#VALUE!</v>
      </c>
      <c r="M89" t="e">
        <f t="shared" ca="1" si="26"/>
        <v>#VALUE!</v>
      </c>
      <c r="N89" s="22" t="e">
        <f t="shared" ca="1" si="27"/>
        <v>#VALUE!</v>
      </c>
      <c r="O89" t="e">
        <f t="shared" ca="1" si="28"/>
        <v>#VALUE!</v>
      </c>
      <c r="P89" s="18" t="e">
        <f t="shared" ca="1" si="29"/>
        <v>#VALUE!</v>
      </c>
      <c r="Q89" s="18" t="e">
        <f t="shared" ca="1" si="30"/>
        <v>#VALUE!</v>
      </c>
      <c r="R89" s="19" t="e">
        <f t="shared" ca="1" si="31"/>
        <v>#VALUE!</v>
      </c>
      <c r="S89" s="10" t="e">
        <f t="shared" ca="1" si="32"/>
        <v>#VALUE!</v>
      </c>
      <c r="T89" s="10" t="e">
        <f t="shared" ca="1" si="33"/>
        <v>#VALUE!</v>
      </c>
      <c r="U89" s="45" t="e">
        <f t="shared" ca="1" si="34"/>
        <v>#VALUE!</v>
      </c>
      <c r="V89" s="180" t="e">
        <f ca="1">Q89*1000000000/($B$22*'1a. Spredningsmodell input'!$C$26*1000)</f>
        <v>#VALUE!</v>
      </c>
      <c r="W89" s="44" t="e">
        <f t="shared" ca="1" si="35"/>
        <v>#VALUE!</v>
      </c>
      <c r="X89" s="167" t="e">
        <f t="shared" ca="1" si="36"/>
        <v>#VALUE!</v>
      </c>
      <c r="Y89" s="102" t="e">
        <f ca="1">(U89/1000000)*('1a. Spredningsmodell input'!$B$49)*'1a. Spredningsmodell input'!$C$35</f>
        <v>#VALUE!</v>
      </c>
      <c r="Z89" s="37" t="e">
        <f ca="1">(V89/1000000)*('1a. Spredningsmodell input'!$B$49)*'1a. Spredningsmodell input'!$C$35</f>
        <v>#VALUE!</v>
      </c>
      <c r="AA89" s="37" t="e">
        <f t="shared" ca="1" si="37"/>
        <v>#VALUE!</v>
      </c>
      <c r="AB89" s="1" t="e">
        <f t="shared" ca="1" si="38"/>
        <v>#VALUE!</v>
      </c>
      <c r="AC89" s="37" t="e">
        <f t="shared" ca="1" si="39"/>
        <v>#VALUE!</v>
      </c>
      <c r="AD89"/>
      <c r="AG89" s="45"/>
      <c r="AH89" s="1"/>
      <c r="AI89" s="22"/>
      <c r="AL89"/>
    </row>
    <row r="90" spans="7:38" x14ac:dyDescent="0.35">
      <c r="G90">
        <v>355</v>
      </c>
      <c r="H90">
        <f>'1a. Spredningsmodell input'!$I$2+G90</f>
        <v>355</v>
      </c>
      <c r="I90" t="e">
        <f t="shared" ca="1" si="23"/>
        <v>#VALUE!</v>
      </c>
      <c r="J90" t="e">
        <f t="shared" ca="1" si="24"/>
        <v>#VALUE!</v>
      </c>
      <c r="K90" t="e">
        <f t="shared" ca="1" si="25"/>
        <v>#VALUE!</v>
      </c>
      <c r="L90" t="e">
        <f t="shared" ca="1" si="40"/>
        <v>#VALUE!</v>
      </c>
      <c r="M90" t="e">
        <f t="shared" ca="1" si="26"/>
        <v>#VALUE!</v>
      </c>
      <c r="N90" s="22" t="e">
        <f t="shared" ca="1" si="27"/>
        <v>#VALUE!</v>
      </c>
      <c r="O90" t="e">
        <f t="shared" ca="1" si="28"/>
        <v>#VALUE!</v>
      </c>
      <c r="P90" s="18" t="e">
        <f t="shared" ca="1" si="29"/>
        <v>#VALUE!</v>
      </c>
      <c r="Q90" s="18" t="e">
        <f t="shared" ca="1" si="30"/>
        <v>#VALUE!</v>
      </c>
      <c r="R90" s="19" t="e">
        <f t="shared" ca="1" si="31"/>
        <v>#VALUE!</v>
      </c>
      <c r="S90" s="10" t="e">
        <f t="shared" ca="1" si="32"/>
        <v>#VALUE!</v>
      </c>
      <c r="T90" s="10" t="e">
        <f t="shared" ca="1" si="33"/>
        <v>#VALUE!</v>
      </c>
      <c r="U90" s="45" t="e">
        <f t="shared" ca="1" si="34"/>
        <v>#VALUE!</v>
      </c>
      <c r="V90" s="180" t="e">
        <f ca="1">Q90*1000000000/($B$22*'1a. Spredningsmodell input'!$C$26*1000)</f>
        <v>#VALUE!</v>
      </c>
      <c r="W90" s="44" t="e">
        <f t="shared" ca="1" si="35"/>
        <v>#VALUE!</v>
      </c>
      <c r="X90" s="167" t="e">
        <f t="shared" ca="1" si="36"/>
        <v>#VALUE!</v>
      </c>
      <c r="Y90" s="102" t="e">
        <f ca="1">(U90/1000000)*('1a. Spredningsmodell input'!$B$49)*'1a. Spredningsmodell input'!$C$35</f>
        <v>#VALUE!</v>
      </c>
      <c r="Z90" s="37" t="e">
        <f ca="1">(V90/1000000)*('1a. Spredningsmodell input'!$B$49)*'1a. Spredningsmodell input'!$C$35</f>
        <v>#VALUE!</v>
      </c>
      <c r="AA90" s="37" t="e">
        <f t="shared" ca="1" si="37"/>
        <v>#VALUE!</v>
      </c>
      <c r="AB90" s="1" t="e">
        <f t="shared" ca="1" si="38"/>
        <v>#VALUE!</v>
      </c>
      <c r="AC90" s="37" t="e">
        <f t="shared" ca="1" si="39"/>
        <v>#VALUE!</v>
      </c>
      <c r="AD90"/>
      <c r="AG90" s="45"/>
      <c r="AH90" s="1"/>
      <c r="AI90" s="22"/>
      <c r="AL90"/>
    </row>
    <row r="91" spans="7:38" x14ac:dyDescent="0.35">
      <c r="G91">
        <v>360</v>
      </c>
      <c r="H91">
        <f>'1a. Spredningsmodell input'!$I$2+G91</f>
        <v>360</v>
      </c>
      <c r="I91" t="e">
        <f t="shared" ca="1" si="23"/>
        <v>#VALUE!</v>
      </c>
      <c r="J91" t="e">
        <f t="shared" ca="1" si="24"/>
        <v>#VALUE!</v>
      </c>
      <c r="K91" t="e">
        <f t="shared" ca="1" si="25"/>
        <v>#VALUE!</v>
      </c>
      <c r="L91" t="e">
        <f t="shared" ca="1" si="40"/>
        <v>#VALUE!</v>
      </c>
      <c r="M91" t="e">
        <f t="shared" ca="1" si="26"/>
        <v>#VALUE!</v>
      </c>
      <c r="N91" s="22" t="e">
        <f t="shared" ca="1" si="27"/>
        <v>#VALUE!</v>
      </c>
      <c r="O91" t="e">
        <f t="shared" ca="1" si="28"/>
        <v>#VALUE!</v>
      </c>
      <c r="P91" s="18" t="e">
        <f t="shared" ca="1" si="29"/>
        <v>#VALUE!</v>
      </c>
      <c r="Q91" s="18" t="e">
        <f t="shared" ca="1" si="30"/>
        <v>#VALUE!</v>
      </c>
      <c r="R91" s="19" t="e">
        <f t="shared" ca="1" si="31"/>
        <v>#VALUE!</v>
      </c>
      <c r="S91" s="10" t="e">
        <f t="shared" ca="1" si="32"/>
        <v>#VALUE!</v>
      </c>
      <c r="T91" s="10" t="e">
        <f t="shared" ca="1" si="33"/>
        <v>#VALUE!</v>
      </c>
      <c r="U91" s="45" t="e">
        <f t="shared" ca="1" si="34"/>
        <v>#VALUE!</v>
      </c>
      <c r="V91" s="180" t="e">
        <f ca="1">Q91*1000000000/($B$22*'1a. Spredningsmodell input'!$C$26*1000)</f>
        <v>#VALUE!</v>
      </c>
      <c r="W91" s="44" t="e">
        <f t="shared" ca="1" si="35"/>
        <v>#VALUE!</v>
      </c>
      <c r="X91" s="167" t="e">
        <f t="shared" ca="1" si="36"/>
        <v>#VALUE!</v>
      </c>
      <c r="Y91" s="102" t="e">
        <f ca="1">(U91/1000000)*('1a. Spredningsmodell input'!$B$49)*'1a. Spredningsmodell input'!$C$35</f>
        <v>#VALUE!</v>
      </c>
      <c r="Z91" s="37" t="e">
        <f ca="1">(V91/1000000)*('1a. Spredningsmodell input'!$B$49)*'1a. Spredningsmodell input'!$C$35</f>
        <v>#VALUE!</v>
      </c>
      <c r="AA91" s="37" t="e">
        <f t="shared" ca="1" si="37"/>
        <v>#VALUE!</v>
      </c>
      <c r="AB91" s="1" t="e">
        <f t="shared" ca="1" si="38"/>
        <v>#VALUE!</v>
      </c>
      <c r="AC91" s="37" t="e">
        <f t="shared" ca="1" si="39"/>
        <v>#VALUE!</v>
      </c>
      <c r="AD91"/>
      <c r="AG91" s="45"/>
      <c r="AH91" s="1"/>
      <c r="AI91" s="22"/>
      <c r="AL91"/>
    </row>
    <row r="92" spans="7:38" x14ac:dyDescent="0.35">
      <c r="G92">
        <v>365</v>
      </c>
      <c r="H92">
        <f>'1a. Spredningsmodell input'!$I$2+G92</f>
        <v>365</v>
      </c>
      <c r="I92" t="e">
        <f t="shared" ca="1" si="23"/>
        <v>#VALUE!</v>
      </c>
      <c r="J92" t="e">
        <f t="shared" ca="1" si="24"/>
        <v>#VALUE!</v>
      </c>
      <c r="K92" t="e">
        <f t="shared" ca="1" si="25"/>
        <v>#VALUE!</v>
      </c>
      <c r="L92" t="e">
        <f t="shared" ca="1" si="40"/>
        <v>#VALUE!</v>
      </c>
      <c r="M92" t="e">
        <f t="shared" ca="1" si="26"/>
        <v>#VALUE!</v>
      </c>
      <c r="N92" s="22" t="e">
        <f t="shared" ca="1" si="27"/>
        <v>#VALUE!</v>
      </c>
      <c r="O92" t="e">
        <f t="shared" ca="1" si="28"/>
        <v>#VALUE!</v>
      </c>
      <c r="P92" s="18" t="e">
        <f t="shared" ca="1" si="29"/>
        <v>#VALUE!</v>
      </c>
      <c r="Q92" s="18" t="e">
        <f t="shared" ca="1" si="30"/>
        <v>#VALUE!</v>
      </c>
      <c r="R92" s="19" t="e">
        <f t="shared" ca="1" si="31"/>
        <v>#VALUE!</v>
      </c>
      <c r="S92" s="10" t="e">
        <f t="shared" ca="1" si="32"/>
        <v>#VALUE!</v>
      </c>
      <c r="T92" s="10" t="e">
        <f t="shared" ca="1" si="33"/>
        <v>#VALUE!</v>
      </c>
      <c r="U92" s="45" t="e">
        <f t="shared" ca="1" si="34"/>
        <v>#VALUE!</v>
      </c>
      <c r="V92" s="180" t="e">
        <f ca="1">Q92*1000000000/($B$22*'1a. Spredningsmodell input'!$C$26*1000)</f>
        <v>#VALUE!</v>
      </c>
      <c r="W92" s="44" t="e">
        <f t="shared" ca="1" si="35"/>
        <v>#VALUE!</v>
      </c>
      <c r="X92" s="167" t="e">
        <f t="shared" ca="1" si="36"/>
        <v>#VALUE!</v>
      </c>
      <c r="Y92" s="102" t="e">
        <f ca="1">(U92/1000000)*('1a. Spredningsmodell input'!$B$49)*'1a. Spredningsmodell input'!$C$35</f>
        <v>#VALUE!</v>
      </c>
      <c r="Z92" s="37" t="e">
        <f ca="1">(V92/1000000)*('1a. Spredningsmodell input'!$B$49)*'1a. Spredningsmodell input'!$C$35</f>
        <v>#VALUE!</v>
      </c>
      <c r="AA92" s="37" t="e">
        <f t="shared" ca="1" si="37"/>
        <v>#VALUE!</v>
      </c>
      <c r="AB92" s="1" t="e">
        <f t="shared" ca="1" si="38"/>
        <v>#VALUE!</v>
      </c>
      <c r="AC92" s="37" t="e">
        <f t="shared" ca="1" si="39"/>
        <v>#VALUE!</v>
      </c>
      <c r="AD92"/>
      <c r="AG92" s="45"/>
      <c r="AH92" s="1"/>
      <c r="AI92" s="22"/>
      <c r="AL92"/>
    </row>
    <row r="93" spans="7:38" x14ac:dyDescent="0.35">
      <c r="G93">
        <v>370</v>
      </c>
      <c r="H93">
        <f>'1a. Spredningsmodell input'!$I$2+G93</f>
        <v>370</v>
      </c>
      <c r="I93" t="e">
        <f t="shared" ca="1" si="23"/>
        <v>#VALUE!</v>
      </c>
      <c r="J93" t="e">
        <f t="shared" ca="1" si="24"/>
        <v>#VALUE!</v>
      </c>
      <c r="K93" t="e">
        <f t="shared" ca="1" si="25"/>
        <v>#VALUE!</v>
      </c>
      <c r="L93" t="e">
        <f t="shared" ca="1" si="40"/>
        <v>#VALUE!</v>
      </c>
      <c r="M93" t="e">
        <f t="shared" ca="1" si="26"/>
        <v>#VALUE!</v>
      </c>
      <c r="N93" s="22" t="e">
        <f t="shared" ca="1" si="27"/>
        <v>#VALUE!</v>
      </c>
      <c r="O93" t="e">
        <f t="shared" ca="1" si="28"/>
        <v>#VALUE!</v>
      </c>
      <c r="P93" s="18" t="e">
        <f t="shared" ca="1" si="29"/>
        <v>#VALUE!</v>
      </c>
      <c r="Q93" s="18" t="e">
        <f t="shared" ca="1" si="30"/>
        <v>#VALUE!</v>
      </c>
      <c r="R93" s="19" t="e">
        <f t="shared" ca="1" si="31"/>
        <v>#VALUE!</v>
      </c>
      <c r="S93" s="10" t="e">
        <f t="shared" ca="1" si="32"/>
        <v>#VALUE!</v>
      </c>
      <c r="T93" s="10" t="e">
        <f t="shared" ca="1" si="33"/>
        <v>#VALUE!</v>
      </c>
      <c r="U93" s="45" t="e">
        <f t="shared" ca="1" si="34"/>
        <v>#VALUE!</v>
      </c>
      <c r="V93" s="180" t="e">
        <f ca="1">Q93*1000000000/($B$22*'1a. Spredningsmodell input'!$C$26*1000)</f>
        <v>#VALUE!</v>
      </c>
      <c r="W93" s="44" t="e">
        <f t="shared" ca="1" si="35"/>
        <v>#VALUE!</v>
      </c>
      <c r="X93" s="167" t="e">
        <f t="shared" ca="1" si="36"/>
        <v>#VALUE!</v>
      </c>
      <c r="Y93" s="102" t="e">
        <f ca="1">(U93/1000000)*('1a. Spredningsmodell input'!$B$49)*'1a. Spredningsmodell input'!$C$35</f>
        <v>#VALUE!</v>
      </c>
      <c r="Z93" s="37" t="e">
        <f ca="1">(V93/1000000)*('1a. Spredningsmodell input'!$B$49)*'1a. Spredningsmodell input'!$C$35</f>
        <v>#VALUE!</v>
      </c>
      <c r="AA93" s="37" t="e">
        <f t="shared" ca="1" si="37"/>
        <v>#VALUE!</v>
      </c>
      <c r="AB93" s="1" t="e">
        <f t="shared" ca="1" si="38"/>
        <v>#VALUE!</v>
      </c>
      <c r="AC93" s="37" t="e">
        <f t="shared" ca="1" si="39"/>
        <v>#VALUE!</v>
      </c>
      <c r="AD93"/>
      <c r="AG93" s="45"/>
      <c r="AH93" s="1"/>
      <c r="AI93" s="22"/>
      <c r="AL93"/>
    </row>
    <row r="94" spans="7:38" x14ac:dyDescent="0.35">
      <c r="G94">
        <v>375</v>
      </c>
      <c r="H94">
        <f>'1a. Spredningsmodell input'!$I$2+G94</f>
        <v>375</v>
      </c>
      <c r="I94" t="e">
        <f t="shared" ca="1" si="23"/>
        <v>#VALUE!</v>
      </c>
      <c r="J94" t="e">
        <f t="shared" ca="1" si="24"/>
        <v>#VALUE!</v>
      </c>
      <c r="K94" t="e">
        <f t="shared" ca="1" si="25"/>
        <v>#VALUE!</v>
      </c>
      <c r="L94" t="e">
        <f t="shared" ca="1" si="40"/>
        <v>#VALUE!</v>
      </c>
      <c r="M94" t="e">
        <f t="shared" ca="1" si="26"/>
        <v>#VALUE!</v>
      </c>
      <c r="N94" s="22" t="e">
        <f t="shared" ca="1" si="27"/>
        <v>#VALUE!</v>
      </c>
      <c r="O94" t="e">
        <f t="shared" ca="1" si="28"/>
        <v>#VALUE!</v>
      </c>
      <c r="P94" s="18" t="e">
        <f t="shared" ca="1" si="29"/>
        <v>#VALUE!</v>
      </c>
      <c r="Q94" s="18" t="e">
        <f t="shared" ca="1" si="30"/>
        <v>#VALUE!</v>
      </c>
      <c r="R94" s="19" t="e">
        <f t="shared" ca="1" si="31"/>
        <v>#VALUE!</v>
      </c>
      <c r="S94" s="10" t="e">
        <f t="shared" ca="1" si="32"/>
        <v>#VALUE!</v>
      </c>
      <c r="T94" s="10" t="e">
        <f t="shared" ca="1" si="33"/>
        <v>#VALUE!</v>
      </c>
      <c r="U94" s="45" t="e">
        <f t="shared" ca="1" si="34"/>
        <v>#VALUE!</v>
      </c>
      <c r="V94" s="180" t="e">
        <f ca="1">Q94*1000000000/($B$22*'1a. Spredningsmodell input'!$C$26*1000)</f>
        <v>#VALUE!</v>
      </c>
      <c r="W94" s="44" t="e">
        <f t="shared" ca="1" si="35"/>
        <v>#VALUE!</v>
      </c>
      <c r="X94" s="167" t="e">
        <f t="shared" ca="1" si="36"/>
        <v>#VALUE!</v>
      </c>
      <c r="Y94" s="102" t="e">
        <f ca="1">(U94/1000000)*('1a. Spredningsmodell input'!$B$49)*'1a. Spredningsmodell input'!$C$35</f>
        <v>#VALUE!</v>
      </c>
      <c r="Z94" s="37" t="e">
        <f ca="1">(V94/1000000)*('1a. Spredningsmodell input'!$B$49)*'1a. Spredningsmodell input'!$C$35</f>
        <v>#VALUE!</v>
      </c>
      <c r="AA94" s="37" t="e">
        <f t="shared" ca="1" si="37"/>
        <v>#VALUE!</v>
      </c>
      <c r="AB94" s="1" t="e">
        <f t="shared" ca="1" si="38"/>
        <v>#VALUE!</v>
      </c>
      <c r="AC94" s="37" t="e">
        <f t="shared" ca="1" si="39"/>
        <v>#VALUE!</v>
      </c>
      <c r="AD94"/>
      <c r="AG94" s="45"/>
      <c r="AH94" s="1"/>
      <c r="AI94" s="22"/>
      <c r="AL94"/>
    </row>
    <row r="95" spans="7:38" x14ac:dyDescent="0.35">
      <c r="G95">
        <v>380</v>
      </c>
      <c r="H95">
        <f>'1a. Spredningsmodell input'!$I$2+G95</f>
        <v>380</v>
      </c>
      <c r="I95" t="e">
        <f t="shared" ca="1" si="23"/>
        <v>#VALUE!</v>
      </c>
      <c r="J95" t="e">
        <f t="shared" ca="1" si="24"/>
        <v>#VALUE!</v>
      </c>
      <c r="K95" t="e">
        <f t="shared" ca="1" si="25"/>
        <v>#VALUE!</v>
      </c>
      <c r="L95" t="e">
        <f t="shared" ca="1" si="40"/>
        <v>#VALUE!</v>
      </c>
      <c r="M95" t="e">
        <f t="shared" ca="1" si="26"/>
        <v>#VALUE!</v>
      </c>
      <c r="N95" s="22" t="e">
        <f t="shared" ca="1" si="27"/>
        <v>#VALUE!</v>
      </c>
      <c r="O95" t="e">
        <f t="shared" ca="1" si="28"/>
        <v>#VALUE!</v>
      </c>
      <c r="P95" s="18" t="e">
        <f t="shared" ca="1" si="29"/>
        <v>#VALUE!</v>
      </c>
      <c r="Q95" s="18" t="e">
        <f t="shared" ca="1" si="30"/>
        <v>#VALUE!</v>
      </c>
      <c r="R95" s="19" t="e">
        <f t="shared" ca="1" si="31"/>
        <v>#VALUE!</v>
      </c>
      <c r="S95" s="10" t="e">
        <f t="shared" ca="1" si="32"/>
        <v>#VALUE!</v>
      </c>
      <c r="T95" s="10" t="e">
        <f t="shared" ca="1" si="33"/>
        <v>#VALUE!</v>
      </c>
      <c r="U95" s="45" t="e">
        <f t="shared" ca="1" si="34"/>
        <v>#VALUE!</v>
      </c>
      <c r="V95" s="180" t="e">
        <f ca="1">Q95*1000000000/($B$22*'1a. Spredningsmodell input'!$C$26*1000)</f>
        <v>#VALUE!</v>
      </c>
      <c r="W95" s="44" t="e">
        <f t="shared" ca="1" si="35"/>
        <v>#VALUE!</v>
      </c>
      <c r="X95" s="167" t="e">
        <f t="shared" ca="1" si="36"/>
        <v>#VALUE!</v>
      </c>
      <c r="Y95" s="102" t="e">
        <f ca="1">(U95/1000000)*('1a. Spredningsmodell input'!$B$49)*'1a. Spredningsmodell input'!$C$35</f>
        <v>#VALUE!</v>
      </c>
      <c r="Z95" s="37" t="e">
        <f ca="1">(V95/1000000)*('1a. Spredningsmodell input'!$B$49)*'1a. Spredningsmodell input'!$C$35</f>
        <v>#VALUE!</v>
      </c>
      <c r="AA95" s="37" t="e">
        <f t="shared" ca="1" si="37"/>
        <v>#VALUE!</v>
      </c>
      <c r="AB95" s="1" t="e">
        <f t="shared" ca="1" si="38"/>
        <v>#VALUE!</v>
      </c>
      <c r="AC95" s="37" t="e">
        <f t="shared" ca="1" si="39"/>
        <v>#VALUE!</v>
      </c>
      <c r="AD95"/>
      <c r="AG95" s="45"/>
      <c r="AH95" s="1"/>
      <c r="AI95" s="22"/>
      <c r="AL95"/>
    </row>
    <row r="96" spans="7:38" x14ac:dyDescent="0.35">
      <c r="G96">
        <v>385</v>
      </c>
      <c r="H96">
        <f>'1a. Spredningsmodell input'!$I$2+G96</f>
        <v>385</v>
      </c>
      <c r="I96" t="e">
        <f t="shared" ca="1" si="23"/>
        <v>#VALUE!</v>
      </c>
      <c r="J96" t="e">
        <f t="shared" ca="1" si="24"/>
        <v>#VALUE!</v>
      </c>
      <c r="K96" t="e">
        <f t="shared" ca="1" si="25"/>
        <v>#VALUE!</v>
      </c>
      <c r="L96" t="e">
        <f t="shared" ca="1" si="40"/>
        <v>#VALUE!</v>
      </c>
      <c r="M96" t="e">
        <f t="shared" ca="1" si="26"/>
        <v>#VALUE!</v>
      </c>
      <c r="N96" s="22" t="e">
        <f t="shared" ca="1" si="27"/>
        <v>#VALUE!</v>
      </c>
      <c r="O96" t="e">
        <f t="shared" ca="1" si="28"/>
        <v>#VALUE!</v>
      </c>
      <c r="P96" s="18" t="e">
        <f t="shared" ca="1" si="29"/>
        <v>#VALUE!</v>
      </c>
      <c r="Q96" s="18" t="e">
        <f t="shared" ca="1" si="30"/>
        <v>#VALUE!</v>
      </c>
      <c r="R96" s="19" t="e">
        <f t="shared" ca="1" si="31"/>
        <v>#VALUE!</v>
      </c>
      <c r="S96" s="10" t="e">
        <f t="shared" ca="1" si="32"/>
        <v>#VALUE!</v>
      </c>
      <c r="T96" s="10" t="e">
        <f t="shared" ca="1" si="33"/>
        <v>#VALUE!</v>
      </c>
      <c r="U96" s="45" t="e">
        <f t="shared" ca="1" si="34"/>
        <v>#VALUE!</v>
      </c>
      <c r="V96" s="180" t="e">
        <f ca="1">Q96*1000000000/($B$22*'1a. Spredningsmodell input'!$C$26*1000)</f>
        <v>#VALUE!</v>
      </c>
      <c r="W96" s="44" t="e">
        <f t="shared" ca="1" si="35"/>
        <v>#VALUE!</v>
      </c>
      <c r="X96" s="167" t="e">
        <f t="shared" ca="1" si="36"/>
        <v>#VALUE!</v>
      </c>
      <c r="Y96" s="102" t="e">
        <f ca="1">(U96/1000000)*('1a. Spredningsmodell input'!$B$49)*'1a. Spredningsmodell input'!$C$35</f>
        <v>#VALUE!</v>
      </c>
      <c r="Z96" s="37" t="e">
        <f ca="1">(V96/1000000)*('1a. Spredningsmodell input'!$B$49)*'1a. Spredningsmodell input'!$C$35</f>
        <v>#VALUE!</v>
      </c>
      <c r="AA96" s="37" t="e">
        <f t="shared" ca="1" si="37"/>
        <v>#VALUE!</v>
      </c>
      <c r="AB96" s="1" t="e">
        <f t="shared" ca="1" si="38"/>
        <v>#VALUE!</v>
      </c>
      <c r="AC96" s="37" t="e">
        <f t="shared" ca="1" si="39"/>
        <v>#VALUE!</v>
      </c>
      <c r="AD96"/>
      <c r="AG96" s="45"/>
      <c r="AH96" s="1"/>
      <c r="AI96" s="22"/>
      <c r="AL96"/>
    </row>
    <row r="97" spans="7:38" x14ac:dyDescent="0.35">
      <c r="G97">
        <v>390</v>
      </c>
      <c r="H97">
        <f>'1a. Spredningsmodell input'!$I$2+G97</f>
        <v>390</v>
      </c>
      <c r="I97" t="e">
        <f t="shared" ca="1" si="23"/>
        <v>#VALUE!</v>
      </c>
      <c r="J97" t="e">
        <f t="shared" ca="1" si="24"/>
        <v>#VALUE!</v>
      </c>
      <c r="K97" t="e">
        <f t="shared" ca="1" si="25"/>
        <v>#VALUE!</v>
      </c>
      <c r="L97" t="e">
        <f t="shared" ca="1" si="40"/>
        <v>#VALUE!</v>
      </c>
      <c r="M97" t="e">
        <f t="shared" ca="1" si="26"/>
        <v>#VALUE!</v>
      </c>
      <c r="N97" s="22" t="e">
        <f t="shared" ca="1" si="27"/>
        <v>#VALUE!</v>
      </c>
      <c r="O97" t="e">
        <f t="shared" ca="1" si="28"/>
        <v>#VALUE!</v>
      </c>
      <c r="P97" s="18" t="e">
        <f t="shared" ca="1" si="29"/>
        <v>#VALUE!</v>
      </c>
      <c r="Q97" s="18" t="e">
        <f t="shared" ca="1" si="30"/>
        <v>#VALUE!</v>
      </c>
      <c r="R97" s="19" t="e">
        <f t="shared" ca="1" si="31"/>
        <v>#VALUE!</v>
      </c>
      <c r="S97" s="10" t="e">
        <f t="shared" ca="1" si="32"/>
        <v>#VALUE!</v>
      </c>
      <c r="T97" s="10" t="e">
        <f t="shared" ca="1" si="33"/>
        <v>#VALUE!</v>
      </c>
      <c r="U97" s="45" t="e">
        <f t="shared" ca="1" si="34"/>
        <v>#VALUE!</v>
      </c>
      <c r="V97" s="180" t="e">
        <f ca="1">Q97*1000000000/($B$22*'1a. Spredningsmodell input'!$C$26*1000)</f>
        <v>#VALUE!</v>
      </c>
      <c r="W97" s="44" t="e">
        <f t="shared" ca="1" si="35"/>
        <v>#VALUE!</v>
      </c>
      <c r="X97" s="167" t="e">
        <f t="shared" ca="1" si="36"/>
        <v>#VALUE!</v>
      </c>
      <c r="Y97" s="102" t="e">
        <f ca="1">(U97/1000000)*('1a. Spredningsmodell input'!$B$49)*'1a. Spredningsmodell input'!$C$35</f>
        <v>#VALUE!</v>
      </c>
      <c r="Z97" s="37" t="e">
        <f ca="1">(V97/1000000)*('1a. Spredningsmodell input'!$B$49)*'1a. Spredningsmodell input'!$C$35</f>
        <v>#VALUE!</v>
      </c>
      <c r="AA97" s="37" t="e">
        <f t="shared" ca="1" si="37"/>
        <v>#VALUE!</v>
      </c>
      <c r="AB97" s="1" t="e">
        <f t="shared" ca="1" si="38"/>
        <v>#VALUE!</v>
      </c>
      <c r="AC97" s="37" t="e">
        <f t="shared" ca="1" si="39"/>
        <v>#VALUE!</v>
      </c>
      <c r="AD97"/>
      <c r="AG97" s="45"/>
      <c r="AH97" s="1"/>
      <c r="AI97" s="22"/>
      <c r="AL97"/>
    </row>
    <row r="98" spans="7:38" x14ac:dyDescent="0.35">
      <c r="G98">
        <v>395</v>
      </c>
      <c r="H98">
        <f>'1a. Spredningsmodell input'!$I$2+G98</f>
        <v>395</v>
      </c>
      <c r="I98" t="e">
        <f t="shared" ca="1" si="23"/>
        <v>#VALUE!</v>
      </c>
      <c r="J98" t="e">
        <f t="shared" ca="1" si="24"/>
        <v>#VALUE!</v>
      </c>
      <c r="K98" t="e">
        <f t="shared" ca="1" si="25"/>
        <v>#VALUE!</v>
      </c>
      <c r="L98" t="e">
        <f t="shared" ca="1" si="40"/>
        <v>#VALUE!</v>
      </c>
      <c r="M98" t="e">
        <f t="shared" ca="1" si="26"/>
        <v>#VALUE!</v>
      </c>
      <c r="N98" s="22" t="e">
        <f t="shared" ca="1" si="27"/>
        <v>#VALUE!</v>
      </c>
      <c r="O98" t="e">
        <f t="shared" ca="1" si="28"/>
        <v>#VALUE!</v>
      </c>
      <c r="P98" s="18" t="e">
        <f t="shared" ca="1" si="29"/>
        <v>#VALUE!</v>
      </c>
      <c r="Q98" s="18" t="e">
        <f t="shared" ca="1" si="30"/>
        <v>#VALUE!</v>
      </c>
      <c r="R98" s="19" t="e">
        <f t="shared" ca="1" si="31"/>
        <v>#VALUE!</v>
      </c>
      <c r="S98" s="10" t="e">
        <f t="shared" ca="1" si="32"/>
        <v>#VALUE!</v>
      </c>
      <c r="T98" s="10" t="e">
        <f t="shared" ca="1" si="33"/>
        <v>#VALUE!</v>
      </c>
      <c r="U98" s="45" t="e">
        <f t="shared" ca="1" si="34"/>
        <v>#VALUE!</v>
      </c>
      <c r="V98" s="180" t="e">
        <f ca="1">Q98*1000000000/($B$22*'1a. Spredningsmodell input'!$C$26*1000)</f>
        <v>#VALUE!</v>
      </c>
      <c r="W98" s="44" t="e">
        <f t="shared" ca="1" si="35"/>
        <v>#VALUE!</v>
      </c>
      <c r="X98" s="167" t="e">
        <f t="shared" ca="1" si="36"/>
        <v>#VALUE!</v>
      </c>
      <c r="Y98" s="102" t="e">
        <f ca="1">(U98/1000000)*('1a. Spredningsmodell input'!$B$49)*'1a. Spredningsmodell input'!$C$35</f>
        <v>#VALUE!</v>
      </c>
      <c r="Z98" s="37" t="e">
        <f ca="1">(V98/1000000)*('1a. Spredningsmodell input'!$B$49)*'1a. Spredningsmodell input'!$C$35</f>
        <v>#VALUE!</v>
      </c>
      <c r="AA98" s="37" t="e">
        <f t="shared" ca="1" si="37"/>
        <v>#VALUE!</v>
      </c>
      <c r="AB98" s="1" t="e">
        <f t="shared" ca="1" si="38"/>
        <v>#VALUE!</v>
      </c>
      <c r="AC98" s="37" t="e">
        <f t="shared" ca="1" si="39"/>
        <v>#VALUE!</v>
      </c>
      <c r="AD98"/>
      <c r="AG98" s="45"/>
      <c r="AH98" s="1"/>
      <c r="AI98" s="22"/>
      <c r="AL98"/>
    </row>
    <row r="99" spans="7:38" x14ac:dyDescent="0.35">
      <c r="G99">
        <v>400</v>
      </c>
      <c r="H99">
        <f>'1a. Spredningsmodell input'!$I$2+G99</f>
        <v>400</v>
      </c>
      <c r="I99" t="e">
        <f t="shared" ca="1" si="23"/>
        <v>#VALUE!</v>
      </c>
      <c r="J99" t="e">
        <f t="shared" ca="1" si="24"/>
        <v>#VALUE!</v>
      </c>
      <c r="K99" t="e">
        <f t="shared" ca="1" si="25"/>
        <v>#VALUE!</v>
      </c>
      <c r="L99" t="e">
        <f t="shared" ca="1" si="40"/>
        <v>#VALUE!</v>
      </c>
      <c r="M99" t="e">
        <f t="shared" ca="1" si="26"/>
        <v>#VALUE!</v>
      </c>
      <c r="N99" s="22" t="e">
        <f t="shared" ca="1" si="27"/>
        <v>#VALUE!</v>
      </c>
      <c r="O99" t="e">
        <f t="shared" ca="1" si="28"/>
        <v>#VALUE!</v>
      </c>
      <c r="P99" s="18" t="e">
        <f t="shared" ca="1" si="29"/>
        <v>#VALUE!</v>
      </c>
      <c r="Q99" s="18" t="e">
        <f t="shared" ca="1" si="30"/>
        <v>#VALUE!</v>
      </c>
      <c r="R99" s="19" t="e">
        <f t="shared" ca="1" si="31"/>
        <v>#VALUE!</v>
      </c>
      <c r="S99" s="10" t="e">
        <f t="shared" ca="1" si="32"/>
        <v>#VALUE!</v>
      </c>
      <c r="T99" s="10" t="e">
        <f t="shared" ca="1" si="33"/>
        <v>#VALUE!</v>
      </c>
      <c r="U99" s="45" t="e">
        <f t="shared" ca="1" si="34"/>
        <v>#VALUE!</v>
      </c>
      <c r="V99" s="180" t="e">
        <f ca="1">Q99*1000000000/($B$22*'1a. Spredningsmodell input'!$C$26*1000)</f>
        <v>#VALUE!</v>
      </c>
      <c r="W99" s="44" t="e">
        <f t="shared" ca="1" si="35"/>
        <v>#VALUE!</v>
      </c>
      <c r="X99" s="167" t="e">
        <f t="shared" ca="1" si="36"/>
        <v>#VALUE!</v>
      </c>
      <c r="Y99" s="102" t="e">
        <f ca="1">(U99/1000000)*('1a. Spredningsmodell input'!$B$49)*'1a. Spredningsmodell input'!$C$35</f>
        <v>#VALUE!</v>
      </c>
      <c r="Z99" s="37" t="e">
        <f ca="1">(V99/1000000)*('1a. Spredningsmodell input'!$B$49)*'1a. Spredningsmodell input'!$C$35</f>
        <v>#VALUE!</v>
      </c>
      <c r="AA99" s="37" t="e">
        <f t="shared" ca="1" si="37"/>
        <v>#VALUE!</v>
      </c>
      <c r="AB99" s="1" t="e">
        <f t="shared" ca="1" si="38"/>
        <v>#VALUE!</v>
      </c>
      <c r="AC99" s="37" t="e">
        <f t="shared" ca="1" si="39"/>
        <v>#VALUE!</v>
      </c>
      <c r="AD99"/>
      <c r="AG99" s="45"/>
      <c r="AH99" s="1"/>
      <c r="AI99" s="22"/>
      <c r="AL99"/>
    </row>
    <row r="100" spans="7:38" x14ac:dyDescent="0.35">
      <c r="G100">
        <v>405</v>
      </c>
      <c r="H100">
        <f>'1a. Spredningsmodell input'!$I$2+G100</f>
        <v>405</v>
      </c>
      <c r="I100" t="e">
        <f t="shared" ca="1" si="23"/>
        <v>#VALUE!</v>
      </c>
      <c r="J100" t="e">
        <f t="shared" ca="1" si="24"/>
        <v>#VALUE!</v>
      </c>
      <c r="K100" t="e">
        <f t="shared" ca="1" si="25"/>
        <v>#VALUE!</v>
      </c>
      <c r="L100" t="e">
        <f t="shared" ca="1" si="40"/>
        <v>#VALUE!</v>
      </c>
      <c r="M100" t="e">
        <f t="shared" ca="1" si="26"/>
        <v>#VALUE!</v>
      </c>
      <c r="N100" s="22" t="e">
        <f t="shared" ca="1" si="27"/>
        <v>#VALUE!</v>
      </c>
      <c r="O100" t="e">
        <f t="shared" ca="1" si="28"/>
        <v>#VALUE!</v>
      </c>
      <c r="P100" s="18" t="e">
        <f t="shared" ca="1" si="29"/>
        <v>#VALUE!</v>
      </c>
      <c r="Q100" s="18" t="e">
        <f t="shared" ca="1" si="30"/>
        <v>#VALUE!</v>
      </c>
      <c r="R100" s="19" t="e">
        <f t="shared" ca="1" si="31"/>
        <v>#VALUE!</v>
      </c>
      <c r="S100" s="10" t="e">
        <f t="shared" ca="1" si="32"/>
        <v>#VALUE!</v>
      </c>
      <c r="T100" s="10" t="e">
        <f t="shared" ca="1" si="33"/>
        <v>#VALUE!</v>
      </c>
      <c r="U100" s="45" t="e">
        <f t="shared" ca="1" si="34"/>
        <v>#VALUE!</v>
      </c>
      <c r="V100" s="180" t="e">
        <f ca="1">Q100*1000000000/($B$22*'1a. Spredningsmodell input'!$C$26*1000)</f>
        <v>#VALUE!</v>
      </c>
      <c r="W100" s="44" t="e">
        <f t="shared" ca="1" si="35"/>
        <v>#VALUE!</v>
      </c>
      <c r="X100" s="167" t="e">
        <f t="shared" ca="1" si="36"/>
        <v>#VALUE!</v>
      </c>
      <c r="Y100" s="102" t="e">
        <f ca="1">(U100/1000000)*('1a. Spredningsmodell input'!$B$49)*'1a. Spredningsmodell input'!$C$35</f>
        <v>#VALUE!</v>
      </c>
      <c r="Z100" s="37" t="e">
        <f ca="1">(V100/1000000)*('1a. Spredningsmodell input'!$B$49)*'1a. Spredningsmodell input'!$C$35</f>
        <v>#VALUE!</v>
      </c>
      <c r="AA100" s="37" t="e">
        <f t="shared" ca="1" si="37"/>
        <v>#VALUE!</v>
      </c>
      <c r="AB100" s="1" t="e">
        <f t="shared" ca="1" si="38"/>
        <v>#VALUE!</v>
      </c>
      <c r="AC100" s="37" t="e">
        <f t="shared" ca="1" si="39"/>
        <v>#VALUE!</v>
      </c>
      <c r="AD100"/>
      <c r="AG100" s="45"/>
      <c r="AH100" s="1"/>
      <c r="AI100" s="22"/>
      <c r="AL100"/>
    </row>
    <row r="101" spans="7:38" x14ac:dyDescent="0.35">
      <c r="G101">
        <v>410</v>
      </c>
      <c r="H101">
        <f>'1a. Spredningsmodell input'!$I$2+G101</f>
        <v>410</v>
      </c>
      <c r="I101" t="e">
        <f t="shared" ca="1" si="23"/>
        <v>#VALUE!</v>
      </c>
      <c r="J101" t="e">
        <f t="shared" ca="1" si="24"/>
        <v>#VALUE!</v>
      </c>
      <c r="K101" t="e">
        <f t="shared" ca="1" si="25"/>
        <v>#VALUE!</v>
      </c>
      <c r="L101" t="e">
        <f t="shared" ca="1" si="40"/>
        <v>#VALUE!</v>
      </c>
      <c r="M101" t="e">
        <f t="shared" ca="1" si="26"/>
        <v>#VALUE!</v>
      </c>
      <c r="N101" s="22" t="e">
        <f t="shared" ca="1" si="27"/>
        <v>#VALUE!</v>
      </c>
      <c r="O101" t="e">
        <f t="shared" ca="1" si="28"/>
        <v>#VALUE!</v>
      </c>
      <c r="P101" s="18" t="e">
        <f t="shared" ca="1" si="29"/>
        <v>#VALUE!</v>
      </c>
      <c r="Q101" s="18" t="e">
        <f t="shared" ca="1" si="30"/>
        <v>#VALUE!</v>
      </c>
      <c r="R101" s="19" t="e">
        <f t="shared" ca="1" si="31"/>
        <v>#VALUE!</v>
      </c>
      <c r="S101" s="10" t="e">
        <f t="shared" ca="1" si="32"/>
        <v>#VALUE!</v>
      </c>
      <c r="T101" s="10" t="e">
        <f t="shared" ca="1" si="33"/>
        <v>#VALUE!</v>
      </c>
      <c r="U101" s="45" t="e">
        <f t="shared" ca="1" si="34"/>
        <v>#VALUE!</v>
      </c>
      <c r="V101" s="180" t="e">
        <f ca="1">Q101*1000000000/($B$22*'1a. Spredningsmodell input'!$C$26*1000)</f>
        <v>#VALUE!</v>
      </c>
      <c r="W101" s="44" t="e">
        <f t="shared" ca="1" si="35"/>
        <v>#VALUE!</v>
      </c>
      <c r="X101" s="167" t="e">
        <f t="shared" ca="1" si="36"/>
        <v>#VALUE!</v>
      </c>
      <c r="Y101" s="102" t="e">
        <f ca="1">(U101/1000000)*('1a. Spredningsmodell input'!$B$49)*'1a. Spredningsmodell input'!$C$35</f>
        <v>#VALUE!</v>
      </c>
      <c r="Z101" s="37" t="e">
        <f ca="1">(V101/1000000)*('1a. Spredningsmodell input'!$B$49)*'1a. Spredningsmodell input'!$C$35</f>
        <v>#VALUE!</v>
      </c>
      <c r="AA101" s="37" t="e">
        <f t="shared" ca="1" si="37"/>
        <v>#VALUE!</v>
      </c>
      <c r="AB101" s="1" t="e">
        <f t="shared" ca="1" si="38"/>
        <v>#VALUE!</v>
      </c>
      <c r="AC101" s="37" t="e">
        <f t="shared" ca="1" si="39"/>
        <v>#VALUE!</v>
      </c>
      <c r="AD101"/>
      <c r="AG101" s="45"/>
      <c r="AH101" s="1"/>
      <c r="AI101" s="22"/>
      <c r="AL101"/>
    </row>
    <row r="102" spans="7:38" x14ac:dyDescent="0.35">
      <c r="G102">
        <v>415</v>
      </c>
      <c r="H102">
        <f>'1a. Spredningsmodell input'!$I$2+G102</f>
        <v>415</v>
      </c>
      <c r="I102" t="e">
        <f t="shared" ca="1" si="23"/>
        <v>#VALUE!</v>
      </c>
      <c r="J102" t="e">
        <f t="shared" ca="1" si="24"/>
        <v>#VALUE!</v>
      </c>
      <c r="K102" t="e">
        <f t="shared" ca="1" si="25"/>
        <v>#VALUE!</v>
      </c>
      <c r="L102" t="e">
        <f t="shared" ca="1" si="40"/>
        <v>#VALUE!</v>
      </c>
      <c r="M102" t="e">
        <f t="shared" ca="1" si="26"/>
        <v>#VALUE!</v>
      </c>
      <c r="N102" s="22" t="e">
        <f t="shared" ca="1" si="27"/>
        <v>#VALUE!</v>
      </c>
      <c r="O102" t="e">
        <f t="shared" ca="1" si="28"/>
        <v>#VALUE!</v>
      </c>
      <c r="P102" s="18" t="e">
        <f t="shared" ca="1" si="29"/>
        <v>#VALUE!</v>
      </c>
      <c r="Q102" s="18" t="e">
        <f t="shared" ca="1" si="30"/>
        <v>#VALUE!</v>
      </c>
      <c r="R102" s="19" t="e">
        <f t="shared" ca="1" si="31"/>
        <v>#VALUE!</v>
      </c>
      <c r="S102" s="10" t="e">
        <f t="shared" ca="1" si="32"/>
        <v>#VALUE!</v>
      </c>
      <c r="T102" s="10" t="e">
        <f t="shared" ca="1" si="33"/>
        <v>#VALUE!</v>
      </c>
      <c r="U102" s="45" t="e">
        <f t="shared" ca="1" si="34"/>
        <v>#VALUE!</v>
      </c>
      <c r="V102" s="180" t="e">
        <f ca="1">Q102*1000000000/($B$22*'1a. Spredningsmodell input'!$C$26*1000)</f>
        <v>#VALUE!</v>
      </c>
      <c r="W102" s="44" t="e">
        <f t="shared" ca="1" si="35"/>
        <v>#VALUE!</v>
      </c>
      <c r="X102" s="167" t="e">
        <f t="shared" ca="1" si="36"/>
        <v>#VALUE!</v>
      </c>
      <c r="Y102" s="102" t="e">
        <f ca="1">(U102/1000000)*('1a. Spredningsmodell input'!$B$49)*'1a. Spredningsmodell input'!$C$35</f>
        <v>#VALUE!</v>
      </c>
      <c r="Z102" s="37" t="e">
        <f ca="1">(V102/1000000)*('1a. Spredningsmodell input'!$B$49)*'1a. Spredningsmodell input'!$C$35</f>
        <v>#VALUE!</v>
      </c>
      <c r="AA102" s="37" t="e">
        <f t="shared" ca="1" si="37"/>
        <v>#VALUE!</v>
      </c>
      <c r="AB102" s="1" t="e">
        <f t="shared" ca="1" si="38"/>
        <v>#VALUE!</v>
      </c>
      <c r="AC102" s="37" t="e">
        <f t="shared" ca="1" si="39"/>
        <v>#VALUE!</v>
      </c>
      <c r="AD102"/>
      <c r="AG102" s="45"/>
      <c r="AH102" s="1"/>
      <c r="AI102" s="22"/>
      <c r="AL102"/>
    </row>
    <row r="103" spans="7:38" x14ac:dyDescent="0.35">
      <c r="G103">
        <v>420</v>
      </c>
      <c r="H103">
        <f>'1a. Spredningsmodell input'!$I$2+G103</f>
        <v>420</v>
      </c>
      <c r="I103" t="e">
        <f t="shared" ca="1" si="23"/>
        <v>#VALUE!</v>
      </c>
      <c r="J103" t="e">
        <f t="shared" ca="1" si="24"/>
        <v>#VALUE!</v>
      </c>
      <c r="K103" t="e">
        <f t="shared" ca="1" si="25"/>
        <v>#VALUE!</v>
      </c>
      <c r="L103" t="e">
        <f t="shared" ca="1" si="40"/>
        <v>#VALUE!</v>
      </c>
      <c r="M103" t="e">
        <f t="shared" ca="1" si="26"/>
        <v>#VALUE!</v>
      </c>
      <c r="N103" s="22" t="e">
        <f t="shared" ca="1" si="27"/>
        <v>#VALUE!</v>
      </c>
      <c r="O103" t="e">
        <f t="shared" ca="1" si="28"/>
        <v>#VALUE!</v>
      </c>
      <c r="P103" s="18" t="e">
        <f t="shared" ca="1" si="29"/>
        <v>#VALUE!</v>
      </c>
      <c r="Q103" s="18" t="e">
        <f t="shared" ca="1" si="30"/>
        <v>#VALUE!</v>
      </c>
      <c r="R103" s="19" t="e">
        <f t="shared" ca="1" si="31"/>
        <v>#VALUE!</v>
      </c>
      <c r="S103" s="10" t="e">
        <f t="shared" ca="1" si="32"/>
        <v>#VALUE!</v>
      </c>
      <c r="T103" s="10" t="e">
        <f t="shared" ca="1" si="33"/>
        <v>#VALUE!</v>
      </c>
      <c r="U103" s="45" t="e">
        <f t="shared" ca="1" si="34"/>
        <v>#VALUE!</v>
      </c>
      <c r="V103" s="180" t="e">
        <f ca="1">Q103*1000000000/($B$22*'1a. Spredningsmodell input'!$C$26*1000)</f>
        <v>#VALUE!</v>
      </c>
      <c r="W103" s="44" t="e">
        <f t="shared" ca="1" si="35"/>
        <v>#VALUE!</v>
      </c>
      <c r="X103" s="167" t="e">
        <f t="shared" ca="1" si="36"/>
        <v>#VALUE!</v>
      </c>
      <c r="Y103" s="102" t="e">
        <f ca="1">(U103/1000000)*('1a. Spredningsmodell input'!$B$49)*'1a. Spredningsmodell input'!$C$35</f>
        <v>#VALUE!</v>
      </c>
      <c r="Z103" s="37" t="e">
        <f ca="1">(V103/1000000)*('1a. Spredningsmodell input'!$B$49)*'1a. Spredningsmodell input'!$C$35</f>
        <v>#VALUE!</v>
      </c>
      <c r="AA103" s="37" t="e">
        <f t="shared" ca="1" si="37"/>
        <v>#VALUE!</v>
      </c>
      <c r="AB103" s="1" t="e">
        <f t="shared" ca="1" si="38"/>
        <v>#VALUE!</v>
      </c>
      <c r="AC103" s="37" t="e">
        <f t="shared" ca="1" si="39"/>
        <v>#VALUE!</v>
      </c>
      <c r="AD103"/>
      <c r="AG103" s="45"/>
      <c r="AH103" s="1"/>
      <c r="AI103" s="22"/>
      <c r="AL103"/>
    </row>
    <row r="104" spans="7:38" x14ac:dyDescent="0.35">
      <c r="G104">
        <v>425</v>
      </c>
      <c r="H104">
        <f>'1a. Spredningsmodell input'!$I$2+G104</f>
        <v>425</v>
      </c>
      <c r="I104" t="e">
        <f t="shared" ca="1" si="23"/>
        <v>#VALUE!</v>
      </c>
      <c r="J104" t="e">
        <f t="shared" ca="1" si="24"/>
        <v>#VALUE!</v>
      </c>
      <c r="K104" t="e">
        <f t="shared" ca="1" si="25"/>
        <v>#VALUE!</v>
      </c>
      <c r="L104" t="e">
        <f t="shared" ca="1" si="40"/>
        <v>#VALUE!</v>
      </c>
      <c r="M104" t="e">
        <f t="shared" ca="1" si="26"/>
        <v>#VALUE!</v>
      </c>
      <c r="N104" s="22" t="e">
        <f t="shared" ca="1" si="27"/>
        <v>#VALUE!</v>
      </c>
      <c r="O104" t="e">
        <f t="shared" ca="1" si="28"/>
        <v>#VALUE!</v>
      </c>
      <c r="P104" s="18" t="e">
        <f t="shared" ca="1" si="29"/>
        <v>#VALUE!</v>
      </c>
      <c r="Q104" s="18" t="e">
        <f t="shared" ca="1" si="30"/>
        <v>#VALUE!</v>
      </c>
      <c r="R104" s="19" t="e">
        <f t="shared" ca="1" si="31"/>
        <v>#VALUE!</v>
      </c>
      <c r="S104" s="10" t="e">
        <f t="shared" ca="1" si="32"/>
        <v>#VALUE!</v>
      </c>
      <c r="T104" s="10" t="e">
        <f t="shared" ca="1" si="33"/>
        <v>#VALUE!</v>
      </c>
      <c r="U104" s="45" t="e">
        <f t="shared" ca="1" si="34"/>
        <v>#VALUE!</v>
      </c>
      <c r="V104" s="180" t="e">
        <f ca="1">Q104*1000000000/($B$22*'1a. Spredningsmodell input'!$C$26*1000)</f>
        <v>#VALUE!</v>
      </c>
      <c r="W104" s="44" t="e">
        <f t="shared" ca="1" si="35"/>
        <v>#VALUE!</v>
      </c>
      <c r="X104" s="167" t="e">
        <f t="shared" ca="1" si="36"/>
        <v>#VALUE!</v>
      </c>
      <c r="Y104" s="102" t="e">
        <f ca="1">(U104/1000000)*('1a. Spredningsmodell input'!$B$49)*'1a. Spredningsmodell input'!$C$35</f>
        <v>#VALUE!</v>
      </c>
      <c r="Z104" s="37" t="e">
        <f ca="1">(V104/1000000)*('1a. Spredningsmodell input'!$B$49)*'1a. Spredningsmodell input'!$C$35</f>
        <v>#VALUE!</v>
      </c>
      <c r="AA104" s="37" t="e">
        <f t="shared" ca="1" si="37"/>
        <v>#VALUE!</v>
      </c>
      <c r="AB104" s="1" t="e">
        <f t="shared" ca="1" si="38"/>
        <v>#VALUE!</v>
      </c>
      <c r="AC104" s="37" t="e">
        <f t="shared" ca="1" si="39"/>
        <v>#VALUE!</v>
      </c>
      <c r="AD104"/>
      <c r="AG104" s="45"/>
      <c r="AH104" s="1"/>
      <c r="AI104" s="22"/>
      <c r="AL104"/>
    </row>
    <row r="105" spans="7:38" x14ac:dyDescent="0.35">
      <c r="G105">
        <v>430</v>
      </c>
      <c r="H105">
        <f>'1a. Spredningsmodell input'!$I$2+G105</f>
        <v>430</v>
      </c>
      <c r="I105" t="e">
        <f t="shared" ca="1" si="23"/>
        <v>#VALUE!</v>
      </c>
      <c r="J105" t="e">
        <f t="shared" ca="1" si="24"/>
        <v>#VALUE!</v>
      </c>
      <c r="K105" t="e">
        <f t="shared" ca="1" si="25"/>
        <v>#VALUE!</v>
      </c>
      <c r="L105" t="e">
        <f t="shared" ca="1" si="40"/>
        <v>#VALUE!</v>
      </c>
      <c r="M105" t="e">
        <f t="shared" ca="1" si="26"/>
        <v>#VALUE!</v>
      </c>
      <c r="N105" s="22" t="e">
        <f t="shared" ca="1" si="27"/>
        <v>#VALUE!</v>
      </c>
      <c r="O105" t="e">
        <f t="shared" ca="1" si="28"/>
        <v>#VALUE!</v>
      </c>
      <c r="P105" s="18" t="e">
        <f t="shared" ca="1" si="29"/>
        <v>#VALUE!</v>
      </c>
      <c r="Q105" s="18" t="e">
        <f t="shared" ca="1" si="30"/>
        <v>#VALUE!</v>
      </c>
      <c r="R105" s="19" t="e">
        <f t="shared" ca="1" si="31"/>
        <v>#VALUE!</v>
      </c>
      <c r="S105" s="10" t="e">
        <f t="shared" ca="1" si="32"/>
        <v>#VALUE!</v>
      </c>
      <c r="T105" s="10" t="e">
        <f t="shared" ca="1" si="33"/>
        <v>#VALUE!</v>
      </c>
      <c r="U105" s="45" t="e">
        <f t="shared" ca="1" si="34"/>
        <v>#VALUE!</v>
      </c>
      <c r="V105" s="180" t="e">
        <f ca="1">Q105*1000000000/($B$22*'1a. Spredningsmodell input'!$C$26*1000)</f>
        <v>#VALUE!</v>
      </c>
      <c r="W105" s="44" t="e">
        <f t="shared" ca="1" si="35"/>
        <v>#VALUE!</v>
      </c>
      <c r="X105" s="167" t="e">
        <f t="shared" ca="1" si="36"/>
        <v>#VALUE!</v>
      </c>
      <c r="Y105" s="102" t="e">
        <f ca="1">(U105/1000000)*('1a. Spredningsmodell input'!$B$49)*'1a. Spredningsmodell input'!$C$35</f>
        <v>#VALUE!</v>
      </c>
      <c r="Z105" s="37" t="e">
        <f ca="1">(V105/1000000)*('1a. Spredningsmodell input'!$B$49)*'1a. Spredningsmodell input'!$C$35</f>
        <v>#VALUE!</v>
      </c>
      <c r="AA105" s="37" t="e">
        <f t="shared" ca="1" si="37"/>
        <v>#VALUE!</v>
      </c>
      <c r="AB105" s="1" t="e">
        <f t="shared" ca="1" si="38"/>
        <v>#VALUE!</v>
      </c>
      <c r="AC105" s="37" t="e">
        <f t="shared" ca="1" si="39"/>
        <v>#VALUE!</v>
      </c>
      <c r="AD105"/>
      <c r="AG105" s="45"/>
      <c r="AH105" s="1"/>
      <c r="AI105" s="22"/>
      <c r="AL105"/>
    </row>
    <row r="106" spans="7:38" x14ac:dyDescent="0.35">
      <c r="G106">
        <v>435</v>
      </c>
      <c r="H106">
        <f>'1a. Spredningsmodell input'!$I$2+G106</f>
        <v>435</v>
      </c>
      <c r="I106" t="e">
        <f t="shared" ca="1" si="23"/>
        <v>#VALUE!</v>
      </c>
      <c r="J106" t="e">
        <f t="shared" ca="1" si="24"/>
        <v>#VALUE!</v>
      </c>
      <c r="K106" t="e">
        <f t="shared" ca="1" si="25"/>
        <v>#VALUE!</v>
      </c>
      <c r="L106" t="e">
        <f t="shared" ca="1" si="40"/>
        <v>#VALUE!</v>
      </c>
      <c r="M106" t="e">
        <f t="shared" ca="1" si="26"/>
        <v>#VALUE!</v>
      </c>
      <c r="N106" s="22" t="e">
        <f t="shared" ca="1" si="27"/>
        <v>#VALUE!</v>
      </c>
      <c r="O106" t="e">
        <f t="shared" ca="1" si="28"/>
        <v>#VALUE!</v>
      </c>
      <c r="P106" s="18" t="e">
        <f t="shared" ca="1" si="29"/>
        <v>#VALUE!</v>
      </c>
      <c r="Q106" s="18" t="e">
        <f t="shared" ca="1" si="30"/>
        <v>#VALUE!</v>
      </c>
      <c r="R106" s="19" t="e">
        <f t="shared" ca="1" si="31"/>
        <v>#VALUE!</v>
      </c>
      <c r="S106" s="10" t="e">
        <f t="shared" ca="1" si="32"/>
        <v>#VALUE!</v>
      </c>
      <c r="T106" s="10" t="e">
        <f t="shared" ca="1" si="33"/>
        <v>#VALUE!</v>
      </c>
      <c r="U106" s="45" t="e">
        <f t="shared" ca="1" si="34"/>
        <v>#VALUE!</v>
      </c>
      <c r="V106" s="180" t="e">
        <f ca="1">Q106*1000000000/($B$22*'1a. Spredningsmodell input'!$C$26*1000)</f>
        <v>#VALUE!</v>
      </c>
      <c r="W106" s="44" t="e">
        <f t="shared" ca="1" si="35"/>
        <v>#VALUE!</v>
      </c>
      <c r="X106" s="167" t="e">
        <f t="shared" ca="1" si="36"/>
        <v>#VALUE!</v>
      </c>
      <c r="Y106" s="102" t="e">
        <f ca="1">(U106/1000000)*('1a. Spredningsmodell input'!$B$49)*'1a. Spredningsmodell input'!$C$35</f>
        <v>#VALUE!</v>
      </c>
      <c r="Z106" s="37" t="e">
        <f ca="1">(V106/1000000)*('1a. Spredningsmodell input'!$B$49)*'1a. Spredningsmodell input'!$C$35</f>
        <v>#VALUE!</v>
      </c>
      <c r="AA106" s="37" t="e">
        <f t="shared" ca="1" si="37"/>
        <v>#VALUE!</v>
      </c>
      <c r="AB106" s="1" t="e">
        <f t="shared" ca="1" si="38"/>
        <v>#VALUE!</v>
      </c>
      <c r="AC106" s="37" t="e">
        <f t="shared" ca="1" si="39"/>
        <v>#VALUE!</v>
      </c>
      <c r="AD106"/>
      <c r="AG106" s="45"/>
      <c r="AH106" s="1"/>
      <c r="AI106" s="22"/>
      <c r="AL106"/>
    </row>
    <row r="107" spans="7:38" x14ac:dyDescent="0.35">
      <c r="G107">
        <v>440</v>
      </c>
      <c r="H107">
        <f>'1a. Spredningsmodell input'!$I$2+G107</f>
        <v>440</v>
      </c>
      <c r="I107" t="e">
        <f t="shared" ca="1" si="23"/>
        <v>#VALUE!</v>
      </c>
      <c r="J107" t="e">
        <f t="shared" ca="1" si="24"/>
        <v>#VALUE!</v>
      </c>
      <c r="K107" t="e">
        <f t="shared" ca="1" si="25"/>
        <v>#VALUE!</v>
      </c>
      <c r="L107" t="e">
        <f t="shared" ca="1" si="40"/>
        <v>#VALUE!</v>
      </c>
      <c r="M107" t="e">
        <f t="shared" ca="1" si="26"/>
        <v>#VALUE!</v>
      </c>
      <c r="N107" s="22" t="e">
        <f t="shared" ca="1" si="27"/>
        <v>#VALUE!</v>
      </c>
      <c r="O107" t="e">
        <f t="shared" ca="1" si="28"/>
        <v>#VALUE!</v>
      </c>
      <c r="P107" s="18" t="e">
        <f t="shared" ca="1" si="29"/>
        <v>#VALUE!</v>
      </c>
      <c r="Q107" s="18" t="e">
        <f t="shared" ca="1" si="30"/>
        <v>#VALUE!</v>
      </c>
      <c r="R107" s="19" t="e">
        <f t="shared" ca="1" si="31"/>
        <v>#VALUE!</v>
      </c>
      <c r="S107" s="10" t="e">
        <f t="shared" ca="1" si="32"/>
        <v>#VALUE!</v>
      </c>
      <c r="T107" s="10" t="e">
        <f t="shared" ca="1" si="33"/>
        <v>#VALUE!</v>
      </c>
      <c r="U107" s="45" t="e">
        <f t="shared" ca="1" si="34"/>
        <v>#VALUE!</v>
      </c>
      <c r="V107" s="180" t="e">
        <f ca="1">Q107*1000000000/($B$22*'1a. Spredningsmodell input'!$C$26*1000)</f>
        <v>#VALUE!</v>
      </c>
      <c r="W107" s="44" t="e">
        <f t="shared" ca="1" si="35"/>
        <v>#VALUE!</v>
      </c>
      <c r="X107" s="167" t="e">
        <f t="shared" ca="1" si="36"/>
        <v>#VALUE!</v>
      </c>
      <c r="Y107" s="102" t="e">
        <f ca="1">(U107/1000000)*('1a. Spredningsmodell input'!$B$49)*'1a. Spredningsmodell input'!$C$35</f>
        <v>#VALUE!</v>
      </c>
      <c r="Z107" s="37" t="e">
        <f ca="1">(V107/1000000)*('1a. Spredningsmodell input'!$B$49)*'1a. Spredningsmodell input'!$C$35</f>
        <v>#VALUE!</v>
      </c>
      <c r="AA107" s="37" t="e">
        <f t="shared" ca="1" si="37"/>
        <v>#VALUE!</v>
      </c>
      <c r="AB107" s="1" t="e">
        <f t="shared" ca="1" si="38"/>
        <v>#VALUE!</v>
      </c>
      <c r="AC107" s="37" t="e">
        <f t="shared" ca="1" si="39"/>
        <v>#VALUE!</v>
      </c>
      <c r="AD107"/>
      <c r="AG107" s="45"/>
      <c r="AH107" s="1"/>
      <c r="AI107" s="22"/>
      <c r="AL107"/>
    </row>
    <row r="108" spans="7:38" x14ac:dyDescent="0.35">
      <c r="G108">
        <v>445</v>
      </c>
      <c r="H108">
        <f>'1a. Spredningsmodell input'!$I$2+G108</f>
        <v>445</v>
      </c>
      <c r="I108" t="e">
        <f t="shared" ca="1" si="23"/>
        <v>#VALUE!</v>
      </c>
      <c r="J108" t="e">
        <f t="shared" ca="1" si="24"/>
        <v>#VALUE!</v>
      </c>
      <c r="K108" t="e">
        <f t="shared" ca="1" si="25"/>
        <v>#VALUE!</v>
      </c>
      <c r="L108" t="e">
        <f t="shared" ca="1" si="40"/>
        <v>#VALUE!</v>
      </c>
      <c r="M108" t="e">
        <f t="shared" ca="1" si="26"/>
        <v>#VALUE!</v>
      </c>
      <c r="N108" s="22" t="e">
        <f t="shared" ca="1" si="27"/>
        <v>#VALUE!</v>
      </c>
      <c r="O108" t="e">
        <f t="shared" ca="1" si="28"/>
        <v>#VALUE!</v>
      </c>
      <c r="P108" s="18" t="e">
        <f t="shared" ca="1" si="29"/>
        <v>#VALUE!</v>
      </c>
      <c r="Q108" s="18" t="e">
        <f t="shared" ca="1" si="30"/>
        <v>#VALUE!</v>
      </c>
      <c r="R108" s="19" t="e">
        <f t="shared" ca="1" si="31"/>
        <v>#VALUE!</v>
      </c>
      <c r="S108" s="10" t="e">
        <f t="shared" ca="1" si="32"/>
        <v>#VALUE!</v>
      </c>
      <c r="T108" s="10" t="e">
        <f t="shared" ca="1" si="33"/>
        <v>#VALUE!</v>
      </c>
      <c r="U108" s="45" t="e">
        <f t="shared" ca="1" si="34"/>
        <v>#VALUE!</v>
      </c>
      <c r="V108" s="180" t="e">
        <f ca="1">Q108*1000000000/($B$22*'1a. Spredningsmodell input'!$C$26*1000)</f>
        <v>#VALUE!</v>
      </c>
      <c r="W108" s="44" t="e">
        <f t="shared" ca="1" si="35"/>
        <v>#VALUE!</v>
      </c>
      <c r="X108" s="167" t="e">
        <f t="shared" ca="1" si="36"/>
        <v>#VALUE!</v>
      </c>
      <c r="Y108" s="102" t="e">
        <f ca="1">(U108/1000000)*('1a. Spredningsmodell input'!$B$49)*'1a. Spredningsmodell input'!$C$35</f>
        <v>#VALUE!</v>
      </c>
      <c r="Z108" s="37" t="e">
        <f ca="1">(V108/1000000)*('1a. Spredningsmodell input'!$B$49)*'1a. Spredningsmodell input'!$C$35</f>
        <v>#VALUE!</v>
      </c>
      <c r="AA108" s="37" t="e">
        <f t="shared" ca="1" si="37"/>
        <v>#VALUE!</v>
      </c>
      <c r="AB108" s="1" t="e">
        <f t="shared" ca="1" si="38"/>
        <v>#VALUE!</v>
      </c>
      <c r="AC108" s="37" t="e">
        <f t="shared" ca="1" si="39"/>
        <v>#VALUE!</v>
      </c>
      <c r="AD108"/>
      <c r="AE108"/>
      <c r="AG108" s="45"/>
      <c r="AH108" s="1"/>
      <c r="AI108" s="22"/>
      <c r="AL108"/>
    </row>
    <row r="109" spans="7:38" x14ac:dyDescent="0.35">
      <c r="G109">
        <v>450</v>
      </c>
      <c r="H109">
        <f>'1a. Spredningsmodell input'!$I$2+G109</f>
        <v>450</v>
      </c>
      <c r="I109" t="e">
        <f t="shared" ca="1" si="23"/>
        <v>#VALUE!</v>
      </c>
      <c r="J109" t="e">
        <f t="shared" ca="1" si="24"/>
        <v>#VALUE!</v>
      </c>
      <c r="K109" t="e">
        <f t="shared" ca="1" si="25"/>
        <v>#VALUE!</v>
      </c>
      <c r="L109" t="e">
        <f t="shared" ca="1" si="40"/>
        <v>#VALUE!</v>
      </c>
      <c r="M109" t="e">
        <f t="shared" ca="1" si="26"/>
        <v>#VALUE!</v>
      </c>
      <c r="N109" s="22" t="e">
        <f t="shared" ca="1" si="27"/>
        <v>#VALUE!</v>
      </c>
      <c r="O109" t="e">
        <f t="shared" ca="1" si="28"/>
        <v>#VALUE!</v>
      </c>
      <c r="P109" s="18" t="e">
        <f t="shared" ca="1" si="29"/>
        <v>#VALUE!</v>
      </c>
      <c r="Q109" s="18" t="e">
        <f t="shared" ca="1" si="30"/>
        <v>#VALUE!</v>
      </c>
      <c r="R109" s="19" t="e">
        <f t="shared" ca="1" si="31"/>
        <v>#VALUE!</v>
      </c>
      <c r="S109" s="10" t="e">
        <f t="shared" ca="1" si="32"/>
        <v>#VALUE!</v>
      </c>
      <c r="T109" s="10" t="e">
        <f t="shared" ca="1" si="33"/>
        <v>#VALUE!</v>
      </c>
      <c r="U109" s="45" t="e">
        <f t="shared" ca="1" si="34"/>
        <v>#VALUE!</v>
      </c>
      <c r="V109" s="180" t="e">
        <f ca="1">Q109*1000000000/($B$22*'1a. Spredningsmodell input'!$C$26*1000)</f>
        <v>#VALUE!</v>
      </c>
      <c r="W109" s="44" t="e">
        <f t="shared" ca="1" si="35"/>
        <v>#VALUE!</v>
      </c>
      <c r="X109" s="167" t="e">
        <f t="shared" ca="1" si="36"/>
        <v>#VALUE!</v>
      </c>
      <c r="Y109" s="102" t="e">
        <f ca="1">(U109/1000000)*('1a. Spredningsmodell input'!$B$49)*'1a. Spredningsmodell input'!$C$35</f>
        <v>#VALUE!</v>
      </c>
      <c r="Z109" s="37" t="e">
        <f ca="1">(V109/1000000)*('1a. Spredningsmodell input'!$B$49)*'1a. Spredningsmodell input'!$C$35</f>
        <v>#VALUE!</v>
      </c>
      <c r="AA109" s="37" t="e">
        <f t="shared" ca="1" si="37"/>
        <v>#VALUE!</v>
      </c>
      <c r="AB109" s="1" t="e">
        <f t="shared" ca="1" si="38"/>
        <v>#VALUE!</v>
      </c>
      <c r="AC109" s="37" t="e">
        <f t="shared" ca="1" si="39"/>
        <v>#VALUE!</v>
      </c>
      <c r="AD109"/>
      <c r="AE109"/>
      <c r="AG109" s="45"/>
      <c r="AH109" s="1"/>
      <c r="AI109" s="22"/>
      <c r="AL109"/>
    </row>
    <row r="110" spans="7:38" x14ac:dyDescent="0.35">
      <c r="G110">
        <v>455</v>
      </c>
      <c r="H110">
        <f>'1a. Spredningsmodell input'!$I$2+G110</f>
        <v>455</v>
      </c>
      <c r="I110" t="e">
        <f t="shared" ca="1" si="23"/>
        <v>#VALUE!</v>
      </c>
      <c r="J110" t="e">
        <f t="shared" ca="1" si="24"/>
        <v>#VALUE!</v>
      </c>
      <c r="K110" t="e">
        <f t="shared" ca="1" si="25"/>
        <v>#VALUE!</v>
      </c>
      <c r="L110" t="e">
        <f t="shared" ca="1" si="40"/>
        <v>#VALUE!</v>
      </c>
      <c r="M110" t="e">
        <f t="shared" ca="1" si="26"/>
        <v>#VALUE!</v>
      </c>
      <c r="N110" s="22" t="e">
        <f t="shared" ca="1" si="27"/>
        <v>#VALUE!</v>
      </c>
      <c r="O110" t="e">
        <f t="shared" ca="1" si="28"/>
        <v>#VALUE!</v>
      </c>
      <c r="P110" s="18" t="e">
        <f t="shared" ca="1" si="29"/>
        <v>#VALUE!</v>
      </c>
      <c r="Q110" s="18" t="e">
        <f t="shared" ca="1" si="30"/>
        <v>#VALUE!</v>
      </c>
      <c r="R110" s="19" t="e">
        <f t="shared" ca="1" si="31"/>
        <v>#VALUE!</v>
      </c>
      <c r="S110" s="10" t="e">
        <f t="shared" ca="1" si="32"/>
        <v>#VALUE!</v>
      </c>
      <c r="T110" s="10" t="e">
        <f t="shared" ca="1" si="33"/>
        <v>#VALUE!</v>
      </c>
      <c r="U110" s="45" t="e">
        <f t="shared" ca="1" si="34"/>
        <v>#VALUE!</v>
      </c>
      <c r="V110" s="180" t="e">
        <f ca="1">Q110*1000000000/($B$22*'1a. Spredningsmodell input'!$C$26*1000)</f>
        <v>#VALUE!</v>
      </c>
      <c r="W110" s="44" t="e">
        <f t="shared" ca="1" si="35"/>
        <v>#VALUE!</v>
      </c>
      <c r="X110" s="167" t="e">
        <f t="shared" ca="1" si="36"/>
        <v>#VALUE!</v>
      </c>
      <c r="Y110" s="102" t="e">
        <f ca="1">(U110/1000000)*('1a. Spredningsmodell input'!$B$49)*'1a. Spredningsmodell input'!$C$35</f>
        <v>#VALUE!</v>
      </c>
      <c r="Z110" s="37" t="e">
        <f ca="1">(V110/1000000)*('1a. Spredningsmodell input'!$B$49)*'1a. Spredningsmodell input'!$C$35</f>
        <v>#VALUE!</v>
      </c>
      <c r="AA110" s="37" t="e">
        <f t="shared" ca="1" si="37"/>
        <v>#VALUE!</v>
      </c>
      <c r="AB110" s="1" t="e">
        <f t="shared" ca="1" si="38"/>
        <v>#VALUE!</v>
      </c>
      <c r="AC110" s="37" t="e">
        <f t="shared" ca="1" si="39"/>
        <v>#VALUE!</v>
      </c>
      <c r="AD110"/>
      <c r="AE110"/>
      <c r="AG110" s="45"/>
      <c r="AH110" s="1"/>
      <c r="AI110" s="22"/>
      <c r="AL110"/>
    </row>
    <row r="111" spans="7:38" x14ac:dyDescent="0.35">
      <c r="G111">
        <v>460</v>
      </c>
      <c r="H111">
        <f>'1a. Spredningsmodell input'!$I$2+G111</f>
        <v>460</v>
      </c>
      <c r="I111" t="e">
        <f t="shared" ca="1" si="23"/>
        <v>#VALUE!</v>
      </c>
      <c r="J111" t="e">
        <f t="shared" ca="1" si="24"/>
        <v>#VALUE!</v>
      </c>
      <c r="K111" t="e">
        <f t="shared" ca="1" si="25"/>
        <v>#VALUE!</v>
      </c>
      <c r="L111" t="e">
        <f t="shared" ca="1" si="40"/>
        <v>#VALUE!</v>
      </c>
      <c r="M111" t="e">
        <f t="shared" ca="1" si="26"/>
        <v>#VALUE!</v>
      </c>
      <c r="N111" s="22" t="e">
        <f t="shared" ca="1" si="27"/>
        <v>#VALUE!</v>
      </c>
      <c r="O111" t="e">
        <f t="shared" ca="1" si="28"/>
        <v>#VALUE!</v>
      </c>
      <c r="P111" s="18" t="e">
        <f t="shared" ca="1" si="29"/>
        <v>#VALUE!</v>
      </c>
      <c r="Q111" s="18" t="e">
        <f t="shared" ca="1" si="30"/>
        <v>#VALUE!</v>
      </c>
      <c r="R111" s="19" t="e">
        <f t="shared" ca="1" si="31"/>
        <v>#VALUE!</v>
      </c>
      <c r="S111" s="10" t="e">
        <f t="shared" ca="1" si="32"/>
        <v>#VALUE!</v>
      </c>
      <c r="T111" s="10" t="e">
        <f t="shared" ca="1" si="33"/>
        <v>#VALUE!</v>
      </c>
      <c r="U111" s="45" t="e">
        <f t="shared" ca="1" si="34"/>
        <v>#VALUE!</v>
      </c>
      <c r="V111" s="180" t="e">
        <f ca="1">Q111*1000000000/($B$22*'1a. Spredningsmodell input'!$C$26*1000)</f>
        <v>#VALUE!</v>
      </c>
      <c r="W111" s="44" t="e">
        <f t="shared" ca="1" si="35"/>
        <v>#VALUE!</v>
      </c>
      <c r="X111" s="167" t="e">
        <f t="shared" ca="1" si="36"/>
        <v>#VALUE!</v>
      </c>
      <c r="Y111" s="102" t="e">
        <f ca="1">(U111/1000000)*('1a. Spredningsmodell input'!$B$49)*'1a. Spredningsmodell input'!$C$35</f>
        <v>#VALUE!</v>
      </c>
      <c r="Z111" s="37" t="e">
        <f ca="1">(V111/1000000)*('1a. Spredningsmodell input'!$B$49)*'1a. Spredningsmodell input'!$C$35</f>
        <v>#VALUE!</v>
      </c>
      <c r="AA111" s="37" t="e">
        <f t="shared" ca="1" si="37"/>
        <v>#VALUE!</v>
      </c>
      <c r="AB111" s="1" t="e">
        <f t="shared" ca="1" si="38"/>
        <v>#VALUE!</v>
      </c>
      <c r="AC111" s="37" t="e">
        <f t="shared" ca="1" si="39"/>
        <v>#VALUE!</v>
      </c>
      <c r="AD111"/>
      <c r="AE111"/>
      <c r="AG111" s="45"/>
      <c r="AH111" s="1"/>
      <c r="AI111" s="22"/>
      <c r="AL111"/>
    </row>
    <row r="112" spans="7:38" x14ac:dyDescent="0.35">
      <c r="G112">
        <v>465</v>
      </c>
      <c r="H112">
        <f>'1a. Spredningsmodell input'!$I$2+G112</f>
        <v>465</v>
      </c>
      <c r="I112" t="e">
        <f t="shared" ca="1" si="23"/>
        <v>#VALUE!</v>
      </c>
      <c r="J112" t="e">
        <f t="shared" ca="1" si="24"/>
        <v>#VALUE!</v>
      </c>
      <c r="K112" t="e">
        <f t="shared" ca="1" si="25"/>
        <v>#VALUE!</v>
      </c>
      <c r="L112" t="e">
        <f t="shared" ca="1" si="40"/>
        <v>#VALUE!</v>
      </c>
      <c r="M112" t="e">
        <f t="shared" ca="1" si="26"/>
        <v>#VALUE!</v>
      </c>
      <c r="N112" s="22" t="e">
        <f t="shared" ca="1" si="27"/>
        <v>#VALUE!</v>
      </c>
      <c r="O112" t="e">
        <f t="shared" ca="1" si="28"/>
        <v>#VALUE!</v>
      </c>
      <c r="P112" s="18" t="e">
        <f t="shared" ca="1" si="29"/>
        <v>#VALUE!</v>
      </c>
      <c r="Q112" s="18" t="e">
        <f t="shared" ca="1" si="30"/>
        <v>#VALUE!</v>
      </c>
      <c r="R112" s="19" t="e">
        <f t="shared" ca="1" si="31"/>
        <v>#VALUE!</v>
      </c>
      <c r="S112" s="10" t="e">
        <f t="shared" ca="1" si="32"/>
        <v>#VALUE!</v>
      </c>
      <c r="T112" s="10" t="e">
        <f t="shared" ca="1" si="33"/>
        <v>#VALUE!</v>
      </c>
      <c r="U112" s="45" t="e">
        <f t="shared" ca="1" si="34"/>
        <v>#VALUE!</v>
      </c>
      <c r="V112" s="180" t="e">
        <f ca="1">Q112*1000000000/($B$22*'1a. Spredningsmodell input'!$C$26*1000)</f>
        <v>#VALUE!</v>
      </c>
      <c r="W112" s="44" t="e">
        <f t="shared" ca="1" si="35"/>
        <v>#VALUE!</v>
      </c>
      <c r="X112" s="167" t="e">
        <f t="shared" ca="1" si="36"/>
        <v>#VALUE!</v>
      </c>
      <c r="Y112" s="102" t="e">
        <f ca="1">(U112/1000000)*('1a. Spredningsmodell input'!$B$49)*'1a. Spredningsmodell input'!$C$35</f>
        <v>#VALUE!</v>
      </c>
      <c r="Z112" s="37" t="e">
        <f ca="1">(V112/1000000)*('1a. Spredningsmodell input'!$B$49)*'1a. Spredningsmodell input'!$C$35</f>
        <v>#VALUE!</v>
      </c>
      <c r="AA112" s="37" t="e">
        <f t="shared" ca="1" si="37"/>
        <v>#VALUE!</v>
      </c>
      <c r="AB112" s="1" t="e">
        <f t="shared" ca="1" si="38"/>
        <v>#VALUE!</v>
      </c>
      <c r="AC112" s="37" t="e">
        <f t="shared" ca="1" si="39"/>
        <v>#VALUE!</v>
      </c>
      <c r="AD112"/>
      <c r="AE112"/>
      <c r="AG112" s="45"/>
      <c r="AH112" s="1"/>
      <c r="AI112" s="22"/>
      <c r="AL112"/>
    </row>
    <row r="113" spans="7:38" x14ac:dyDescent="0.35">
      <c r="G113">
        <v>470</v>
      </c>
      <c r="H113">
        <f>'1a. Spredningsmodell input'!$I$2+G113</f>
        <v>470</v>
      </c>
      <c r="I113" t="e">
        <f t="shared" ca="1" si="23"/>
        <v>#VALUE!</v>
      </c>
      <c r="J113" t="e">
        <f t="shared" ca="1" si="24"/>
        <v>#VALUE!</v>
      </c>
      <c r="K113" t="e">
        <f t="shared" ca="1" si="25"/>
        <v>#VALUE!</v>
      </c>
      <c r="L113" t="e">
        <f t="shared" ca="1" si="40"/>
        <v>#VALUE!</v>
      </c>
      <c r="M113" t="e">
        <f t="shared" ca="1" si="26"/>
        <v>#VALUE!</v>
      </c>
      <c r="N113" s="22" t="e">
        <f t="shared" ca="1" si="27"/>
        <v>#VALUE!</v>
      </c>
      <c r="O113" t="e">
        <f t="shared" ca="1" si="28"/>
        <v>#VALUE!</v>
      </c>
      <c r="P113" s="18" t="e">
        <f t="shared" ca="1" si="29"/>
        <v>#VALUE!</v>
      </c>
      <c r="Q113" s="18" t="e">
        <f t="shared" ca="1" si="30"/>
        <v>#VALUE!</v>
      </c>
      <c r="R113" s="19" t="e">
        <f t="shared" ca="1" si="31"/>
        <v>#VALUE!</v>
      </c>
      <c r="S113" s="10" t="e">
        <f t="shared" ca="1" si="32"/>
        <v>#VALUE!</v>
      </c>
      <c r="T113" s="10" t="e">
        <f t="shared" ca="1" si="33"/>
        <v>#VALUE!</v>
      </c>
      <c r="U113" s="45" t="e">
        <f t="shared" ca="1" si="34"/>
        <v>#VALUE!</v>
      </c>
      <c r="V113" s="180" t="e">
        <f ca="1">Q113*1000000000/($B$22*'1a. Spredningsmodell input'!$C$26*1000)</f>
        <v>#VALUE!</v>
      </c>
      <c r="W113" s="44" t="e">
        <f t="shared" ca="1" si="35"/>
        <v>#VALUE!</v>
      </c>
      <c r="X113" s="167" t="e">
        <f t="shared" ca="1" si="36"/>
        <v>#VALUE!</v>
      </c>
      <c r="Y113" s="102" t="e">
        <f ca="1">(U113/1000000)*('1a. Spredningsmodell input'!$B$49)*'1a. Spredningsmodell input'!$C$35</f>
        <v>#VALUE!</v>
      </c>
      <c r="Z113" s="37" t="e">
        <f ca="1">(V113/1000000)*('1a. Spredningsmodell input'!$B$49)*'1a. Spredningsmodell input'!$C$35</f>
        <v>#VALUE!</v>
      </c>
      <c r="AA113" s="37" t="e">
        <f t="shared" ca="1" si="37"/>
        <v>#VALUE!</v>
      </c>
      <c r="AB113" s="1" t="e">
        <f t="shared" ca="1" si="38"/>
        <v>#VALUE!</v>
      </c>
      <c r="AC113" s="37" t="e">
        <f t="shared" ca="1" si="39"/>
        <v>#VALUE!</v>
      </c>
      <c r="AD113"/>
      <c r="AE113"/>
      <c r="AG113" s="45"/>
      <c r="AH113" s="1"/>
      <c r="AI113" s="22"/>
      <c r="AL113"/>
    </row>
    <row r="114" spans="7:38" x14ac:dyDescent="0.35">
      <c r="G114">
        <v>475</v>
      </c>
      <c r="H114">
        <f>'1a. Spredningsmodell input'!$I$2+G114</f>
        <v>475</v>
      </c>
      <c r="I114" t="e">
        <f t="shared" ca="1" si="23"/>
        <v>#VALUE!</v>
      </c>
      <c r="J114" t="e">
        <f t="shared" ca="1" si="24"/>
        <v>#VALUE!</v>
      </c>
      <c r="K114" t="e">
        <f t="shared" ca="1" si="25"/>
        <v>#VALUE!</v>
      </c>
      <c r="L114" t="e">
        <f t="shared" ca="1" si="40"/>
        <v>#VALUE!</v>
      </c>
      <c r="M114" t="e">
        <f t="shared" ca="1" si="26"/>
        <v>#VALUE!</v>
      </c>
      <c r="N114" s="22" t="e">
        <f t="shared" ca="1" si="27"/>
        <v>#VALUE!</v>
      </c>
      <c r="O114" t="e">
        <f t="shared" ca="1" si="28"/>
        <v>#VALUE!</v>
      </c>
      <c r="P114" s="18" t="e">
        <f t="shared" ca="1" si="29"/>
        <v>#VALUE!</v>
      </c>
      <c r="Q114" s="18" t="e">
        <f t="shared" ca="1" si="30"/>
        <v>#VALUE!</v>
      </c>
      <c r="R114" s="19" t="e">
        <f t="shared" ca="1" si="31"/>
        <v>#VALUE!</v>
      </c>
      <c r="S114" s="10" t="e">
        <f t="shared" ca="1" si="32"/>
        <v>#VALUE!</v>
      </c>
      <c r="T114" s="10" t="e">
        <f t="shared" ca="1" si="33"/>
        <v>#VALUE!</v>
      </c>
      <c r="U114" s="45" t="e">
        <f t="shared" ca="1" si="34"/>
        <v>#VALUE!</v>
      </c>
      <c r="V114" s="180" t="e">
        <f ca="1">Q114*1000000000/($B$22*'1a. Spredningsmodell input'!$C$26*1000)</f>
        <v>#VALUE!</v>
      </c>
      <c r="W114" s="44" t="e">
        <f t="shared" ca="1" si="35"/>
        <v>#VALUE!</v>
      </c>
      <c r="X114" s="167" t="e">
        <f t="shared" ca="1" si="36"/>
        <v>#VALUE!</v>
      </c>
      <c r="Y114" s="102" t="e">
        <f ca="1">(U114/1000000)*('1a. Spredningsmodell input'!$B$49)*'1a. Spredningsmodell input'!$C$35</f>
        <v>#VALUE!</v>
      </c>
      <c r="Z114" s="37" t="e">
        <f ca="1">(V114/1000000)*('1a. Spredningsmodell input'!$B$49)*'1a. Spredningsmodell input'!$C$35</f>
        <v>#VALUE!</v>
      </c>
      <c r="AA114" s="37" t="e">
        <f t="shared" ca="1" si="37"/>
        <v>#VALUE!</v>
      </c>
      <c r="AB114" s="1" t="e">
        <f t="shared" ca="1" si="38"/>
        <v>#VALUE!</v>
      </c>
      <c r="AC114" s="37" t="e">
        <f t="shared" ca="1" si="39"/>
        <v>#VALUE!</v>
      </c>
      <c r="AD114"/>
      <c r="AE114"/>
      <c r="AG114" s="45"/>
      <c r="AH114" s="1"/>
      <c r="AI114" s="22"/>
      <c r="AL114"/>
    </row>
    <row r="115" spans="7:38" x14ac:dyDescent="0.35">
      <c r="G115">
        <v>480</v>
      </c>
      <c r="H115">
        <f>'1a. Spredningsmodell input'!$I$2+G115</f>
        <v>480</v>
      </c>
      <c r="I115" t="e">
        <f t="shared" ca="1" si="23"/>
        <v>#VALUE!</v>
      </c>
      <c r="J115" t="e">
        <f t="shared" ca="1" si="24"/>
        <v>#VALUE!</v>
      </c>
      <c r="K115" t="e">
        <f t="shared" ca="1" si="25"/>
        <v>#VALUE!</v>
      </c>
      <c r="L115" t="e">
        <f t="shared" ca="1" si="40"/>
        <v>#VALUE!</v>
      </c>
      <c r="M115" t="e">
        <f t="shared" ca="1" si="26"/>
        <v>#VALUE!</v>
      </c>
      <c r="N115" s="22" t="e">
        <f t="shared" ca="1" si="27"/>
        <v>#VALUE!</v>
      </c>
      <c r="O115" t="e">
        <f t="shared" ca="1" si="28"/>
        <v>#VALUE!</v>
      </c>
      <c r="P115" s="18" t="e">
        <f t="shared" ca="1" si="29"/>
        <v>#VALUE!</v>
      </c>
      <c r="Q115" s="18" t="e">
        <f t="shared" ca="1" si="30"/>
        <v>#VALUE!</v>
      </c>
      <c r="R115" s="19" t="e">
        <f t="shared" ca="1" si="31"/>
        <v>#VALUE!</v>
      </c>
      <c r="S115" s="10" t="e">
        <f t="shared" ca="1" si="32"/>
        <v>#VALUE!</v>
      </c>
      <c r="T115" s="10" t="e">
        <f t="shared" ca="1" si="33"/>
        <v>#VALUE!</v>
      </c>
      <c r="U115" s="45" t="e">
        <f t="shared" ca="1" si="34"/>
        <v>#VALUE!</v>
      </c>
      <c r="V115" s="180" t="e">
        <f ca="1">Q115*1000000000/($B$22*'1a. Spredningsmodell input'!$C$26*1000)</f>
        <v>#VALUE!</v>
      </c>
      <c r="W115" s="44" t="e">
        <f t="shared" ca="1" si="35"/>
        <v>#VALUE!</v>
      </c>
      <c r="X115" s="167" t="e">
        <f t="shared" ca="1" si="36"/>
        <v>#VALUE!</v>
      </c>
      <c r="Y115" s="102" t="e">
        <f ca="1">(U115/1000000)*('1a. Spredningsmodell input'!$B$49)*'1a. Spredningsmodell input'!$C$35</f>
        <v>#VALUE!</v>
      </c>
      <c r="Z115" s="37" t="e">
        <f ca="1">(V115/1000000)*('1a. Spredningsmodell input'!$B$49)*'1a. Spredningsmodell input'!$C$35</f>
        <v>#VALUE!</v>
      </c>
      <c r="AA115" s="37" t="e">
        <f t="shared" ca="1" si="37"/>
        <v>#VALUE!</v>
      </c>
      <c r="AB115" s="1" t="e">
        <f t="shared" ca="1" si="38"/>
        <v>#VALUE!</v>
      </c>
      <c r="AC115" s="37" t="e">
        <f t="shared" ca="1" si="39"/>
        <v>#VALUE!</v>
      </c>
      <c r="AD115"/>
      <c r="AE115"/>
      <c r="AG115" s="45"/>
      <c r="AH115" s="1"/>
      <c r="AI115" s="22"/>
      <c r="AL115"/>
    </row>
    <row r="116" spans="7:38" x14ac:dyDescent="0.35">
      <c r="G116">
        <v>485</v>
      </c>
      <c r="H116">
        <f>'1a. Spredningsmodell input'!$I$2+G116</f>
        <v>485</v>
      </c>
      <c r="I116" t="e">
        <f t="shared" ca="1" si="23"/>
        <v>#VALUE!</v>
      </c>
      <c r="J116" t="e">
        <f t="shared" ca="1" si="24"/>
        <v>#VALUE!</v>
      </c>
      <c r="K116" t="e">
        <f t="shared" ca="1" si="25"/>
        <v>#VALUE!</v>
      </c>
      <c r="L116" t="e">
        <f t="shared" ca="1" si="40"/>
        <v>#VALUE!</v>
      </c>
      <c r="M116" t="e">
        <f t="shared" ca="1" si="26"/>
        <v>#VALUE!</v>
      </c>
      <c r="N116" s="22" t="e">
        <f t="shared" ca="1" si="27"/>
        <v>#VALUE!</v>
      </c>
      <c r="O116" t="e">
        <f t="shared" ca="1" si="28"/>
        <v>#VALUE!</v>
      </c>
      <c r="P116" s="18" t="e">
        <f t="shared" ca="1" si="29"/>
        <v>#VALUE!</v>
      </c>
      <c r="Q116" s="18" t="e">
        <f t="shared" ca="1" si="30"/>
        <v>#VALUE!</v>
      </c>
      <c r="R116" s="19" t="e">
        <f t="shared" ca="1" si="31"/>
        <v>#VALUE!</v>
      </c>
      <c r="S116" s="10" t="e">
        <f t="shared" ca="1" si="32"/>
        <v>#VALUE!</v>
      </c>
      <c r="T116" s="10" t="e">
        <f t="shared" ca="1" si="33"/>
        <v>#VALUE!</v>
      </c>
      <c r="U116" s="45" t="e">
        <f t="shared" ca="1" si="34"/>
        <v>#VALUE!</v>
      </c>
      <c r="V116" s="180" t="e">
        <f ca="1">Q116*1000000000/($B$22*'1a. Spredningsmodell input'!$C$26*1000)</f>
        <v>#VALUE!</v>
      </c>
      <c r="W116" s="44" t="e">
        <f t="shared" ca="1" si="35"/>
        <v>#VALUE!</v>
      </c>
      <c r="X116" s="167" t="e">
        <f t="shared" ca="1" si="36"/>
        <v>#VALUE!</v>
      </c>
      <c r="Y116" s="102" t="e">
        <f ca="1">(U116/1000000)*('1a. Spredningsmodell input'!$B$49)*'1a. Spredningsmodell input'!$C$35</f>
        <v>#VALUE!</v>
      </c>
      <c r="Z116" s="37" t="e">
        <f ca="1">(V116/1000000)*('1a. Spredningsmodell input'!$B$49)*'1a. Spredningsmodell input'!$C$35</f>
        <v>#VALUE!</v>
      </c>
      <c r="AA116" s="37" t="e">
        <f t="shared" ca="1" si="37"/>
        <v>#VALUE!</v>
      </c>
      <c r="AB116" s="1" t="e">
        <f t="shared" ca="1" si="38"/>
        <v>#VALUE!</v>
      </c>
      <c r="AC116" s="37" t="e">
        <f t="shared" ca="1" si="39"/>
        <v>#VALUE!</v>
      </c>
      <c r="AD116"/>
      <c r="AE116"/>
      <c r="AG116" s="45"/>
      <c r="AH116" s="1"/>
      <c r="AI116" s="22"/>
      <c r="AL116"/>
    </row>
    <row r="117" spans="7:38" x14ac:dyDescent="0.35">
      <c r="G117">
        <v>490</v>
      </c>
      <c r="H117">
        <f>'1a. Spredningsmodell input'!$I$2+G117</f>
        <v>490</v>
      </c>
      <c r="I117" t="e">
        <f t="shared" ca="1" si="23"/>
        <v>#VALUE!</v>
      </c>
      <c r="J117" t="e">
        <f t="shared" ca="1" si="24"/>
        <v>#VALUE!</v>
      </c>
      <c r="K117" t="e">
        <f t="shared" ca="1" si="25"/>
        <v>#VALUE!</v>
      </c>
      <c r="L117" t="e">
        <f t="shared" ca="1" si="40"/>
        <v>#VALUE!</v>
      </c>
      <c r="M117" t="e">
        <f t="shared" ca="1" si="26"/>
        <v>#VALUE!</v>
      </c>
      <c r="N117" s="22" t="e">
        <f t="shared" ca="1" si="27"/>
        <v>#VALUE!</v>
      </c>
      <c r="O117" t="e">
        <f t="shared" ca="1" si="28"/>
        <v>#VALUE!</v>
      </c>
      <c r="P117" s="18" t="e">
        <f t="shared" ca="1" si="29"/>
        <v>#VALUE!</v>
      </c>
      <c r="Q117" s="18" t="e">
        <f t="shared" ca="1" si="30"/>
        <v>#VALUE!</v>
      </c>
      <c r="R117" s="19" t="e">
        <f t="shared" ca="1" si="31"/>
        <v>#VALUE!</v>
      </c>
      <c r="S117" s="10" t="e">
        <f t="shared" ca="1" si="32"/>
        <v>#VALUE!</v>
      </c>
      <c r="T117" s="10" t="e">
        <f t="shared" ca="1" si="33"/>
        <v>#VALUE!</v>
      </c>
      <c r="U117" s="45" t="e">
        <f t="shared" ca="1" si="34"/>
        <v>#VALUE!</v>
      </c>
      <c r="V117" s="180" t="e">
        <f ca="1">Q117*1000000000/($B$22*'1a. Spredningsmodell input'!$C$26*1000)</f>
        <v>#VALUE!</v>
      </c>
      <c r="W117" s="44" t="e">
        <f t="shared" ca="1" si="35"/>
        <v>#VALUE!</v>
      </c>
      <c r="X117" s="167" t="e">
        <f t="shared" ca="1" si="36"/>
        <v>#VALUE!</v>
      </c>
      <c r="Y117" s="102" t="e">
        <f ca="1">(U117/1000000)*('1a. Spredningsmodell input'!$B$49)*'1a. Spredningsmodell input'!$C$35</f>
        <v>#VALUE!</v>
      </c>
      <c r="Z117" s="37" t="e">
        <f ca="1">(V117/1000000)*('1a. Spredningsmodell input'!$B$49)*'1a. Spredningsmodell input'!$C$35</f>
        <v>#VALUE!</v>
      </c>
      <c r="AA117" s="37" t="e">
        <f t="shared" ca="1" si="37"/>
        <v>#VALUE!</v>
      </c>
      <c r="AB117" s="1" t="e">
        <f t="shared" ca="1" si="38"/>
        <v>#VALUE!</v>
      </c>
      <c r="AC117" s="37" t="e">
        <f t="shared" ca="1" si="39"/>
        <v>#VALUE!</v>
      </c>
      <c r="AD117"/>
      <c r="AE117"/>
      <c r="AG117" s="45"/>
      <c r="AH117" s="1"/>
      <c r="AI117" s="22"/>
      <c r="AL117"/>
    </row>
    <row r="118" spans="7:38" x14ac:dyDescent="0.35">
      <c r="G118">
        <v>495</v>
      </c>
      <c r="H118">
        <f>'1a. Spredningsmodell input'!$I$2+G118</f>
        <v>495</v>
      </c>
      <c r="I118" t="e">
        <f t="shared" ca="1" si="23"/>
        <v>#VALUE!</v>
      </c>
      <c r="J118" t="e">
        <f t="shared" ca="1" si="24"/>
        <v>#VALUE!</v>
      </c>
      <c r="K118" t="e">
        <f t="shared" ca="1" si="25"/>
        <v>#VALUE!</v>
      </c>
      <c r="L118" t="e">
        <f t="shared" ca="1" si="40"/>
        <v>#VALUE!</v>
      </c>
      <c r="M118" t="e">
        <f t="shared" ca="1" si="26"/>
        <v>#VALUE!</v>
      </c>
      <c r="N118" s="22" t="e">
        <f t="shared" ca="1" si="27"/>
        <v>#VALUE!</v>
      </c>
      <c r="O118" t="e">
        <f t="shared" ca="1" si="28"/>
        <v>#VALUE!</v>
      </c>
      <c r="P118" s="18" t="e">
        <f t="shared" ca="1" si="29"/>
        <v>#VALUE!</v>
      </c>
      <c r="Q118" s="18" t="e">
        <f t="shared" ca="1" si="30"/>
        <v>#VALUE!</v>
      </c>
      <c r="R118" s="19" t="e">
        <f t="shared" ca="1" si="31"/>
        <v>#VALUE!</v>
      </c>
      <c r="S118" s="10" t="e">
        <f t="shared" ca="1" si="32"/>
        <v>#VALUE!</v>
      </c>
      <c r="T118" s="10" t="e">
        <f t="shared" ca="1" si="33"/>
        <v>#VALUE!</v>
      </c>
      <c r="U118" s="45" t="e">
        <f t="shared" ca="1" si="34"/>
        <v>#VALUE!</v>
      </c>
      <c r="V118" s="180" t="e">
        <f ca="1">Q118*1000000000/($B$22*'1a. Spredningsmodell input'!$C$26*1000)</f>
        <v>#VALUE!</v>
      </c>
      <c r="W118" s="44" t="e">
        <f t="shared" ca="1" si="35"/>
        <v>#VALUE!</v>
      </c>
      <c r="X118" s="167" t="e">
        <f t="shared" ca="1" si="36"/>
        <v>#VALUE!</v>
      </c>
      <c r="Y118" s="102" t="e">
        <f ca="1">(U118/1000000)*('1a. Spredningsmodell input'!$B$49)*'1a. Spredningsmodell input'!$C$35</f>
        <v>#VALUE!</v>
      </c>
      <c r="Z118" s="37" t="e">
        <f ca="1">(V118/1000000)*('1a. Spredningsmodell input'!$B$49)*'1a. Spredningsmodell input'!$C$35</f>
        <v>#VALUE!</v>
      </c>
      <c r="AA118" s="37" t="e">
        <f t="shared" ca="1" si="37"/>
        <v>#VALUE!</v>
      </c>
      <c r="AB118" s="1" t="e">
        <f t="shared" ca="1" si="38"/>
        <v>#VALUE!</v>
      </c>
      <c r="AC118" s="37" t="e">
        <f t="shared" ca="1" si="39"/>
        <v>#VALUE!</v>
      </c>
      <c r="AD118"/>
      <c r="AE118"/>
      <c r="AG118" s="45"/>
      <c r="AH118" s="1"/>
      <c r="AI118" s="22"/>
      <c r="AL118"/>
    </row>
    <row r="119" spans="7:38" x14ac:dyDescent="0.35">
      <c r="G119">
        <v>500</v>
      </c>
      <c r="H119">
        <f>'1a. Spredningsmodell input'!$I$2+G119</f>
        <v>500</v>
      </c>
      <c r="I119" t="e">
        <f t="shared" ca="1" si="23"/>
        <v>#VALUE!</v>
      </c>
      <c r="J119" t="e">
        <f t="shared" ca="1" si="24"/>
        <v>#VALUE!</v>
      </c>
      <c r="K119" t="e">
        <f t="shared" ca="1" si="25"/>
        <v>#VALUE!</v>
      </c>
      <c r="L119" t="e">
        <f t="shared" ca="1" si="40"/>
        <v>#VALUE!</v>
      </c>
      <c r="M119" t="e">
        <f t="shared" ca="1" si="26"/>
        <v>#VALUE!</v>
      </c>
      <c r="N119" s="22" t="e">
        <f t="shared" ca="1" si="27"/>
        <v>#VALUE!</v>
      </c>
      <c r="O119" t="e">
        <f t="shared" ca="1" si="28"/>
        <v>#VALUE!</v>
      </c>
      <c r="P119" s="31" t="e">
        <f t="shared" ca="1" si="29"/>
        <v>#VALUE!</v>
      </c>
      <c r="Q119" s="31" t="e">
        <f t="shared" ca="1" si="30"/>
        <v>#VALUE!</v>
      </c>
      <c r="R119" s="31" t="e">
        <f t="shared" ca="1" si="31"/>
        <v>#VALUE!</v>
      </c>
      <c r="S119" s="10" t="e">
        <f t="shared" ca="1" si="32"/>
        <v>#VALUE!</v>
      </c>
      <c r="T119" s="10" t="e">
        <f t="shared" ca="1" si="33"/>
        <v>#VALUE!</v>
      </c>
      <c r="U119" s="45" t="e">
        <f t="shared" ca="1" si="34"/>
        <v>#VALUE!</v>
      </c>
      <c r="V119" s="180" t="e">
        <f ca="1">Q119*1000000000/($B$22*'1a. Spredningsmodell input'!$C$26*1000)</f>
        <v>#VALUE!</v>
      </c>
      <c r="W119" s="44" t="e">
        <f t="shared" ca="1" si="35"/>
        <v>#VALUE!</v>
      </c>
      <c r="X119" s="167" t="e">
        <f t="shared" ca="1" si="36"/>
        <v>#VALUE!</v>
      </c>
      <c r="Y119" s="102" t="e">
        <f ca="1">(U119/1000000)*('1a. Spredningsmodell input'!$B$49)*'1a. Spredningsmodell input'!$C$35</f>
        <v>#VALUE!</v>
      </c>
      <c r="Z119" s="37" t="e">
        <f ca="1">(V119/1000000)*('1a. Spredningsmodell input'!$B$49)*'1a. Spredningsmodell input'!$C$35</f>
        <v>#VALUE!</v>
      </c>
      <c r="AA119" s="37" t="e">
        <f t="shared" ca="1" si="37"/>
        <v>#VALUE!</v>
      </c>
      <c r="AB119" s="1" t="e">
        <f t="shared" ca="1" si="38"/>
        <v>#VALUE!</v>
      </c>
      <c r="AC119" s="37" t="e">
        <f t="shared" ca="1" si="39"/>
        <v>#VALUE!</v>
      </c>
      <c r="AD119"/>
      <c r="AE119"/>
      <c r="AG119" s="45"/>
      <c r="AH119" s="1"/>
      <c r="AI119" s="22"/>
      <c r="AL119"/>
    </row>
    <row r="120" spans="7:38" x14ac:dyDescent="0.35">
      <c r="G120">
        <v>505</v>
      </c>
      <c r="H120">
        <f>'1a. Spredningsmodell input'!$I$2+G120</f>
        <v>505</v>
      </c>
      <c r="I120" t="e">
        <f t="shared" ca="1" si="23"/>
        <v>#VALUE!</v>
      </c>
      <c r="J120" t="e">
        <f t="shared" ca="1" si="24"/>
        <v>#VALUE!</v>
      </c>
      <c r="K120" t="e">
        <f t="shared" ca="1" si="25"/>
        <v>#VALUE!</v>
      </c>
      <c r="L120" t="e">
        <f t="shared" ca="1" si="40"/>
        <v>#VALUE!</v>
      </c>
      <c r="M120" t="e">
        <f t="shared" ca="1" si="26"/>
        <v>#VALUE!</v>
      </c>
      <c r="N120" s="22" t="e">
        <f t="shared" ca="1" si="27"/>
        <v>#VALUE!</v>
      </c>
      <c r="O120" t="e">
        <f t="shared" ca="1" si="28"/>
        <v>#VALUE!</v>
      </c>
      <c r="P120" s="31" t="e">
        <f t="shared" ca="1" si="29"/>
        <v>#VALUE!</v>
      </c>
      <c r="Q120" s="31" t="e">
        <f t="shared" ca="1" si="30"/>
        <v>#VALUE!</v>
      </c>
      <c r="R120" s="31" t="e">
        <f t="shared" ca="1" si="31"/>
        <v>#VALUE!</v>
      </c>
      <c r="S120" s="10" t="e">
        <f t="shared" ca="1" si="32"/>
        <v>#VALUE!</v>
      </c>
      <c r="T120" s="10" t="e">
        <f t="shared" ca="1" si="33"/>
        <v>#VALUE!</v>
      </c>
      <c r="U120" s="45" t="e">
        <f t="shared" ca="1" si="34"/>
        <v>#VALUE!</v>
      </c>
      <c r="V120" s="180" t="e">
        <f ca="1">Q120*1000000000/($B$22*'1a. Spredningsmodell input'!$C$26*1000)</f>
        <v>#VALUE!</v>
      </c>
      <c r="W120" s="44" t="e">
        <f t="shared" ca="1" si="35"/>
        <v>#VALUE!</v>
      </c>
      <c r="X120" s="167" t="e">
        <f t="shared" ca="1" si="36"/>
        <v>#VALUE!</v>
      </c>
      <c r="Y120" s="102" t="e">
        <f ca="1">(U120/1000000)*('1a. Spredningsmodell input'!$B$49)*'1a. Spredningsmodell input'!$C$35</f>
        <v>#VALUE!</v>
      </c>
      <c r="Z120" s="37" t="e">
        <f ca="1">(V120/1000000)*('1a. Spredningsmodell input'!$B$49)*'1a. Spredningsmodell input'!$C$35</f>
        <v>#VALUE!</v>
      </c>
      <c r="AA120" s="37" t="e">
        <f t="shared" ca="1" si="37"/>
        <v>#VALUE!</v>
      </c>
      <c r="AB120" s="1" t="e">
        <f t="shared" ca="1" si="38"/>
        <v>#VALUE!</v>
      </c>
      <c r="AC120" s="37" t="e">
        <f t="shared" ca="1" si="39"/>
        <v>#VALUE!</v>
      </c>
      <c r="AD120"/>
      <c r="AE120"/>
      <c r="AG120" s="45"/>
      <c r="AH120" s="1"/>
      <c r="AI120" s="22"/>
      <c r="AL120"/>
    </row>
    <row r="121" spans="7:38" x14ac:dyDescent="0.35">
      <c r="G121">
        <v>510</v>
      </c>
      <c r="H121">
        <f>'1a. Spredningsmodell input'!$I$2+G121</f>
        <v>510</v>
      </c>
      <c r="I121" t="e">
        <f t="shared" ca="1" si="23"/>
        <v>#VALUE!</v>
      </c>
      <c r="J121" t="e">
        <f t="shared" ca="1" si="24"/>
        <v>#VALUE!</v>
      </c>
      <c r="K121" t="e">
        <f t="shared" ca="1" si="25"/>
        <v>#VALUE!</v>
      </c>
      <c r="L121" t="e">
        <f t="shared" ca="1" si="40"/>
        <v>#VALUE!</v>
      </c>
      <c r="M121" t="e">
        <f t="shared" ca="1" si="26"/>
        <v>#VALUE!</v>
      </c>
      <c r="N121" s="22" t="e">
        <f t="shared" ca="1" si="27"/>
        <v>#VALUE!</v>
      </c>
      <c r="O121" t="e">
        <f t="shared" ca="1" si="28"/>
        <v>#VALUE!</v>
      </c>
      <c r="P121" s="31" t="e">
        <f t="shared" ca="1" si="29"/>
        <v>#VALUE!</v>
      </c>
      <c r="Q121" s="31" t="e">
        <f t="shared" ca="1" si="30"/>
        <v>#VALUE!</v>
      </c>
      <c r="R121" s="31" t="e">
        <f t="shared" ca="1" si="31"/>
        <v>#VALUE!</v>
      </c>
      <c r="S121" s="10" t="e">
        <f t="shared" ca="1" si="32"/>
        <v>#VALUE!</v>
      </c>
      <c r="T121" s="10" t="e">
        <f t="shared" ca="1" si="33"/>
        <v>#VALUE!</v>
      </c>
      <c r="U121" s="45" t="e">
        <f t="shared" ca="1" si="34"/>
        <v>#VALUE!</v>
      </c>
      <c r="V121" s="180" t="e">
        <f ca="1">Q121*1000000000/($B$22*'1a. Spredningsmodell input'!$C$26*1000)</f>
        <v>#VALUE!</v>
      </c>
      <c r="W121" s="44" t="e">
        <f t="shared" ca="1" si="35"/>
        <v>#VALUE!</v>
      </c>
      <c r="X121" s="167" t="e">
        <f t="shared" ca="1" si="36"/>
        <v>#VALUE!</v>
      </c>
      <c r="Y121" s="102" t="e">
        <f ca="1">(U121/1000000)*('1a. Spredningsmodell input'!$B$49)*'1a. Spredningsmodell input'!$C$35</f>
        <v>#VALUE!</v>
      </c>
      <c r="Z121" s="37" t="e">
        <f ca="1">(V121/1000000)*('1a. Spredningsmodell input'!$B$49)*'1a. Spredningsmodell input'!$C$35</f>
        <v>#VALUE!</v>
      </c>
      <c r="AA121" s="37" t="e">
        <f t="shared" ca="1" si="37"/>
        <v>#VALUE!</v>
      </c>
      <c r="AB121" s="1" t="e">
        <f t="shared" ca="1" si="38"/>
        <v>#VALUE!</v>
      </c>
      <c r="AC121" s="37" t="e">
        <f t="shared" ca="1" si="39"/>
        <v>#VALUE!</v>
      </c>
      <c r="AD121"/>
      <c r="AE121"/>
      <c r="AG121" s="45"/>
      <c r="AH121" s="1"/>
      <c r="AI121" s="22"/>
      <c r="AL121"/>
    </row>
    <row r="122" spans="7:38" x14ac:dyDescent="0.35">
      <c r="G122">
        <v>515</v>
      </c>
      <c r="H122">
        <f>'1a. Spredningsmodell input'!$I$2+G122</f>
        <v>515</v>
      </c>
      <c r="I122" t="e">
        <f t="shared" ca="1" si="23"/>
        <v>#VALUE!</v>
      </c>
      <c r="J122" t="e">
        <f t="shared" ca="1" si="24"/>
        <v>#VALUE!</v>
      </c>
      <c r="K122" t="e">
        <f t="shared" ca="1" si="25"/>
        <v>#VALUE!</v>
      </c>
      <c r="L122" t="e">
        <f t="shared" ca="1" si="40"/>
        <v>#VALUE!</v>
      </c>
      <c r="M122" t="e">
        <f t="shared" ca="1" si="26"/>
        <v>#VALUE!</v>
      </c>
      <c r="N122" s="22" t="e">
        <f t="shared" ca="1" si="27"/>
        <v>#VALUE!</v>
      </c>
      <c r="O122" t="e">
        <f t="shared" ca="1" si="28"/>
        <v>#VALUE!</v>
      </c>
      <c r="P122" s="18" t="e">
        <f t="shared" ca="1" si="29"/>
        <v>#VALUE!</v>
      </c>
      <c r="Q122" s="18" t="e">
        <f t="shared" ca="1" si="30"/>
        <v>#VALUE!</v>
      </c>
      <c r="R122" s="19" t="e">
        <f t="shared" ca="1" si="31"/>
        <v>#VALUE!</v>
      </c>
      <c r="S122" s="10" t="e">
        <f t="shared" ca="1" si="32"/>
        <v>#VALUE!</v>
      </c>
      <c r="T122" s="10" t="e">
        <f t="shared" ca="1" si="33"/>
        <v>#VALUE!</v>
      </c>
      <c r="U122" s="45" t="e">
        <f t="shared" ca="1" si="34"/>
        <v>#VALUE!</v>
      </c>
      <c r="V122" s="180" t="e">
        <f ca="1">Q122*1000000000/($B$22*'1a. Spredningsmodell input'!$C$26*1000)</f>
        <v>#VALUE!</v>
      </c>
      <c r="W122" s="44" t="e">
        <f t="shared" ca="1" si="35"/>
        <v>#VALUE!</v>
      </c>
      <c r="X122" s="167" t="e">
        <f t="shared" ca="1" si="36"/>
        <v>#VALUE!</v>
      </c>
      <c r="Y122" s="102" t="e">
        <f ca="1">(U122/1000000)*('1a. Spredningsmodell input'!$B$49)*'1a. Spredningsmodell input'!$C$35</f>
        <v>#VALUE!</v>
      </c>
      <c r="Z122" s="37" t="e">
        <f ca="1">(V122/1000000)*('1a. Spredningsmodell input'!$B$49)*'1a. Spredningsmodell input'!$C$35</f>
        <v>#VALUE!</v>
      </c>
      <c r="AA122" s="37" t="e">
        <f t="shared" ca="1" si="37"/>
        <v>#VALUE!</v>
      </c>
      <c r="AB122" s="1" t="e">
        <f t="shared" ca="1" si="38"/>
        <v>#VALUE!</v>
      </c>
      <c r="AC122" s="37" t="e">
        <f t="shared" ca="1" si="39"/>
        <v>#VALUE!</v>
      </c>
      <c r="AD122" s="31"/>
      <c r="AE122"/>
      <c r="AH122" s="45"/>
      <c r="AI122" s="1"/>
      <c r="AJ122" s="22"/>
      <c r="AL122"/>
    </row>
    <row r="123" spans="7:38" x14ac:dyDescent="0.35">
      <c r="G123">
        <v>520</v>
      </c>
      <c r="H123">
        <f>'1a. Spredningsmodell input'!$I$2+G123</f>
        <v>520</v>
      </c>
      <c r="I123" t="e">
        <f t="shared" ca="1" si="23"/>
        <v>#VALUE!</v>
      </c>
      <c r="J123" t="e">
        <f t="shared" ca="1" si="24"/>
        <v>#VALUE!</v>
      </c>
      <c r="K123" t="e">
        <f t="shared" ca="1" si="25"/>
        <v>#VALUE!</v>
      </c>
      <c r="L123" t="e">
        <f t="shared" ca="1" si="40"/>
        <v>#VALUE!</v>
      </c>
      <c r="M123" t="e">
        <f t="shared" ca="1" si="26"/>
        <v>#VALUE!</v>
      </c>
      <c r="N123" s="22" t="e">
        <f t="shared" ca="1" si="27"/>
        <v>#VALUE!</v>
      </c>
      <c r="O123" t="e">
        <f t="shared" ca="1" si="28"/>
        <v>#VALUE!</v>
      </c>
      <c r="P123" s="31" t="e">
        <f t="shared" ca="1" si="29"/>
        <v>#VALUE!</v>
      </c>
      <c r="Q123" s="31" t="e">
        <f t="shared" ca="1" si="30"/>
        <v>#VALUE!</v>
      </c>
      <c r="R123" s="31" t="e">
        <f t="shared" ca="1" si="31"/>
        <v>#VALUE!</v>
      </c>
      <c r="S123" s="10" t="e">
        <f t="shared" ca="1" si="32"/>
        <v>#VALUE!</v>
      </c>
      <c r="T123" s="10" t="e">
        <f t="shared" ca="1" si="33"/>
        <v>#VALUE!</v>
      </c>
      <c r="U123" s="45" t="e">
        <f t="shared" ca="1" si="34"/>
        <v>#VALUE!</v>
      </c>
      <c r="V123" s="180" t="e">
        <f ca="1">Q123*1000000000/($B$22*'1a. Spredningsmodell input'!$C$26*1000)</f>
        <v>#VALUE!</v>
      </c>
      <c r="W123" s="44" t="e">
        <f t="shared" ca="1" si="35"/>
        <v>#VALUE!</v>
      </c>
      <c r="X123" s="167" t="e">
        <f t="shared" ca="1" si="36"/>
        <v>#VALUE!</v>
      </c>
      <c r="Y123" s="102" t="e">
        <f ca="1">(U123/1000000)*('1a. Spredningsmodell input'!$B$49)*'1a. Spredningsmodell input'!$C$35</f>
        <v>#VALUE!</v>
      </c>
      <c r="Z123" s="37" t="e">
        <f ca="1">(V123/1000000)*('1a. Spredningsmodell input'!$B$49)*'1a. Spredningsmodell input'!$C$35</f>
        <v>#VALUE!</v>
      </c>
      <c r="AA123" s="37" t="e">
        <f t="shared" ca="1" si="37"/>
        <v>#VALUE!</v>
      </c>
      <c r="AB123" s="1" t="e">
        <f t="shared" ca="1" si="38"/>
        <v>#VALUE!</v>
      </c>
      <c r="AC123" s="37" t="e">
        <f t="shared" ca="1" si="39"/>
        <v>#VALUE!</v>
      </c>
      <c r="AD123" s="31"/>
      <c r="AE123"/>
      <c r="AH123" s="45"/>
      <c r="AI123" s="1"/>
      <c r="AJ123" s="22"/>
      <c r="AL123"/>
    </row>
    <row r="124" spans="7:38" x14ac:dyDescent="0.35">
      <c r="G124">
        <v>525</v>
      </c>
      <c r="H124">
        <f>'1a. Spredningsmodell input'!$I$2+G124</f>
        <v>525</v>
      </c>
      <c r="I124" t="e">
        <f t="shared" ca="1" si="23"/>
        <v>#VALUE!</v>
      </c>
      <c r="J124" t="e">
        <f t="shared" ca="1" si="24"/>
        <v>#VALUE!</v>
      </c>
      <c r="K124" t="e">
        <f t="shared" ca="1" si="25"/>
        <v>#VALUE!</v>
      </c>
      <c r="L124" t="e">
        <f t="shared" ca="1" si="40"/>
        <v>#VALUE!</v>
      </c>
      <c r="M124" t="e">
        <f t="shared" ca="1" si="26"/>
        <v>#VALUE!</v>
      </c>
      <c r="N124" s="22" t="e">
        <f t="shared" ca="1" si="27"/>
        <v>#VALUE!</v>
      </c>
      <c r="O124" t="e">
        <f t="shared" ca="1" si="28"/>
        <v>#VALUE!</v>
      </c>
      <c r="P124" s="31" t="e">
        <f t="shared" ca="1" si="29"/>
        <v>#VALUE!</v>
      </c>
      <c r="Q124" s="31" t="e">
        <f t="shared" ca="1" si="30"/>
        <v>#VALUE!</v>
      </c>
      <c r="R124" s="31" t="e">
        <f t="shared" ca="1" si="31"/>
        <v>#VALUE!</v>
      </c>
      <c r="S124" s="10" t="e">
        <f t="shared" ca="1" si="32"/>
        <v>#VALUE!</v>
      </c>
      <c r="T124" s="10" t="e">
        <f t="shared" ca="1" si="33"/>
        <v>#VALUE!</v>
      </c>
      <c r="U124" s="45" t="e">
        <f t="shared" ca="1" si="34"/>
        <v>#VALUE!</v>
      </c>
      <c r="V124" s="180" t="e">
        <f ca="1">Q124*1000000000/($B$22*'1a. Spredningsmodell input'!$C$26*1000)</f>
        <v>#VALUE!</v>
      </c>
      <c r="W124" s="44" t="e">
        <f t="shared" ca="1" si="35"/>
        <v>#VALUE!</v>
      </c>
      <c r="X124" s="167" t="e">
        <f t="shared" ca="1" si="36"/>
        <v>#VALUE!</v>
      </c>
      <c r="Y124" s="102" t="e">
        <f ca="1">(U124/1000000)*('1a. Spredningsmodell input'!$B$49)*'1a. Spredningsmodell input'!$C$35</f>
        <v>#VALUE!</v>
      </c>
      <c r="Z124" s="37" t="e">
        <f ca="1">(V124/1000000)*('1a. Spredningsmodell input'!$B$49)*'1a. Spredningsmodell input'!$C$35</f>
        <v>#VALUE!</v>
      </c>
      <c r="AA124" s="37" t="e">
        <f t="shared" ca="1" si="37"/>
        <v>#VALUE!</v>
      </c>
      <c r="AB124" s="1" t="e">
        <f t="shared" ca="1" si="38"/>
        <v>#VALUE!</v>
      </c>
      <c r="AC124" s="37" t="e">
        <f t="shared" ca="1" si="39"/>
        <v>#VALUE!</v>
      </c>
      <c r="AD124" s="31"/>
      <c r="AE124"/>
      <c r="AH124" s="45"/>
      <c r="AI124" s="1"/>
      <c r="AJ124" s="22"/>
      <c r="AL124"/>
    </row>
    <row r="125" spans="7:38" x14ac:dyDescent="0.35">
      <c r="G125">
        <v>530</v>
      </c>
      <c r="H125">
        <f>'1a. Spredningsmodell input'!$I$2+G125</f>
        <v>530</v>
      </c>
      <c r="I125" t="e">
        <f t="shared" ca="1" si="23"/>
        <v>#VALUE!</v>
      </c>
      <c r="J125" t="e">
        <f t="shared" ca="1" si="24"/>
        <v>#VALUE!</v>
      </c>
      <c r="K125" t="e">
        <f t="shared" ca="1" si="25"/>
        <v>#VALUE!</v>
      </c>
      <c r="L125" t="e">
        <f t="shared" ca="1" si="40"/>
        <v>#VALUE!</v>
      </c>
      <c r="M125" t="e">
        <f t="shared" ca="1" si="26"/>
        <v>#VALUE!</v>
      </c>
      <c r="N125" s="22" t="e">
        <f t="shared" ca="1" si="27"/>
        <v>#VALUE!</v>
      </c>
      <c r="O125" t="e">
        <f t="shared" ca="1" si="28"/>
        <v>#VALUE!</v>
      </c>
      <c r="P125" s="31" t="e">
        <f t="shared" ca="1" si="29"/>
        <v>#VALUE!</v>
      </c>
      <c r="Q125" s="31" t="e">
        <f t="shared" ca="1" si="30"/>
        <v>#VALUE!</v>
      </c>
      <c r="R125" s="31" t="e">
        <f t="shared" ca="1" si="31"/>
        <v>#VALUE!</v>
      </c>
      <c r="S125" s="10" t="e">
        <f t="shared" ca="1" si="32"/>
        <v>#VALUE!</v>
      </c>
      <c r="T125" s="10" t="e">
        <f t="shared" ca="1" si="33"/>
        <v>#VALUE!</v>
      </c>
      <c r="U125" s="45" t="e">
        <f t="shared" ca="1" si="34"/>
        <v>#VALUE!</v>
      </c>
      <c r="V125" s="180" t="e">
        <f ca="1">Q125*1000000000/($B$22*'1a. Spredningsmodell input'!$C$26*1000)</f>
        <v>#VALUE!</v>
      </c>
      <c r="W125" s="44" t="e">
        <f t="shared" ca="1" si="35"/>
        <v>#VALUE!</v>
      </c>
      <c r="X125" s="167" t="e">
        <f t="shared" ca="1" si="36"/>
        <v>#VALUE!</v>
      </c>
      <c r="Y125" s="102" t="e">
        <f ca="1">(U125/1000000)*('1a. Spredningsmodell input'!$B$49)*'1a. Spredningsmodell input'!$C$35</f>
        <v>#VALUE!</v>
      </c>
      <c r="Z125" s="37" t="e">
        <f ca="1">(V125/1000000)*('1a. Spredningsmodell input'!$B$49)*'1a. Spredningsmodell input'!$C$35</f>
        <v>#VALUE!</v>
      </c>
      <c r="AA125" s="37" t="e">
        <f t="shared" ca="1" si="37"/>
        <v>#VALUE!</v>
      </c>
      <c r="AB125" s="1" t="e">
        <f t="shared" ca="1" si="38"/>
        <v>#VALUE!</v>
      </c>
      <c r="AC125" s="37" t="e">
        <f t="shared" ca="1" si="39"/>
        <v>#VALUE!</v>
      </c>
      <c r="AD125" s="31"/>
      <c r="AE125"/>
      <c r="AH125" s="45"/>
      <c r="AI125" s="1"/>
      <c r="AJ125" s="22"/>
      <c r="AL125"/>
    </row>
    <row r="126" spans="7:38" x14ac:dyDescent="0.35">
      <c r="G126">
        <v>535</v>
      </c>
      <c r="H126">
        <f>'1a. Spredningsmodell input'!$I$2+G126</f>
        <v>535</v>
      </c>
      <c r="I126" t="e">
        <f t="shared" ca="1" si="23"/>
        <v>#VALUE!</v>
      </c>
      <c r="J126" t="e">
        <f t="shared" ca="1" si="24"/>
        <v>#VALUE!</v>
      </c>
      <c r="K126" t="e">
        <f t="shared" ca="1" si="25"/>
        <v>#VALUE!</v>
      </c>
      <c r="L126" t="e">
        <f t="shared" ca="1" si="40"/>
        <v>#VALUE!</v>
      </c>
      <c r="M126" t="e">
        <f t="shared" ca="1" si="26"/>
        <v>#VALUE!</v>
      </c>
      <c r="N126" s="22" t="e">
        <f t="shared" ca="1" si="27"/>
        <v>#VALUE!</v>
      </c>
      <c r="O126" t="e">
        <f t="shared" ca="1" si="28"/>
        <v>#VALUE!</v>
      </c>
      <c r="P126" s="18" t="e">
        <f t="shared" ca="1" si="29"/>
        <v>#VALUE!</v>
      </c>
      <c r="Q126" s="18" t="e">
        <f t="shared" ca="1" si="30"/>
        <v>#VALUE!</v>
      </c>
      <c r="R126" s="19" t="e">
        <f t="shared" ca="1" si="31"/>
        <v>#VALUE!</v>
      </c>
      <c r="S126" s="10" t="e">
        <f t="shared" ca="1" si="32"/>
        <v>#VALUE!</v>
      </c>
      <c r="T126" s="10" t="e">
        <f t="shared" ca="1" si="33"/>
        <v>#VALUE!</v>
      </c>
      <c r="U126" s="45" t="e">
        <f t="shared" ca="1" si="34"/>
        <v>#VALUE!</v>
      </c>
      <c r="V126" s="180" t="e">
        <f ca="1">Q126*1000000000/($B$22*'1a. Spredningsmodell input'!$C$26*1000)</f>
        <v>#VALUE!</v>
      </c>
      <c r="W126" s="44" t="e">
        <f t="shared" ca="1" si="35"/>
        <v>#VALUE!</v>
      </c>
      <c r="X126" s="167" t="e">
        <f t="shared" ca="1" si="36"/>
        <v>#VALUE!</v>
      </c>
      <c r="Y126" s="102" t="e">
        <f ca="1">(U126/1000000)*('1a. Spredningsmodell input'!$B$49)*'1a. Spredningsmodell input'!$C$35</f>
        <v>#VALUE!</v>
      </c>
      <c r="Z126" s="37" t="e">
        <f ca="1">(V126/1000000)*('1a. Spredningsmodell input'!$B$49)*'1a. Spredningsmodell input'!$C$35</f>
        <v>#VALUE!</v>
      </c>
      <c r="AA126" s="37" t="e">
        <f t="shared" ca="1" si="37"/>
        <v>#VALUE!</v>
      </c>
      <c r="AB126" s="1" t="e">
        <f t="shared" ca="1" si="38"/>
        <v>#VALUE!</v>
      </c>
      <c r="AC126" s="37" t="e">
        <f t="shared" ca="1" si="39"/>
        <v>#VALUE!</v>
      </c>
      <c r="AD126" s="31"/>
      <c r="AE126"/>
      <c r="AL126"/>
    </row>
    <row r="127" spans="7:38" x14ac:dyDescent="0.35">
      <c r="G127">
        <v>540</v>
      </c>
      <c r="H127">
        <f>'1a. Spredningsmodell input'!$I$2+G127</f>
        <v>540</v>
      </c>
      <c r="I127" t="e">
        <f t="shared" ca="1" si="23"/>
        <v>#VALUE!</v>
      </c>
      <c r="J127" t="e">
        <f t="shared" ca="1" si="24"/>
        <v>#VALUE!</v>
      </c>
      <c r="K127" t="e">
        <f t="shared" ca="1" si="25"/>
        <v>#VALUE!</v>
      </c>
      <c r="L127" t="e">
        <f t="shared" ca="1" si="40"/>
        <v>#VALUE!</v>
      </c>
      <c r="M127" t="e">
        <f t="shared" ca="1" si="26"/>
        <v>#VALUE!</v>
      </c>
      <c r="N127" s="22" t="e">
        <f t="shared" ca="1" si="27"/>
        <v>#VALUE!</v>
      </c>
      <c r="O127" t="e">
        <f t="shared" ca="1" si="28"/>
        <v>#VALUE!</v>
      </c>
      <c r="P127" s="31" t="e">
        <f t="shared" ca="1" si="29"/>
        <v>#VALUE!</v>
      </c>
      <c r="Q127" s="31" t="e">
        <f t="shared" ca="1" si="30"/>
        <v>#VALUE!</v>
      </c>
      <c r="R127" s="31" t="e">
        <f t="shared" ca="1" si="31"/>
        <v>#VALUE!</v>
      </c>
      <c r="S127" s="10" t="e">
        <f t="shared" ca="1" si="32"/>
        <v>#VALUE!</v>
      </c>
      <c r="T127" s="10" t="e">
        <f t="shared" ca="1" si="33"/>
        <v>#VALUE!</v>
      </c>
      <c r="U127" s="45" t="e">
        <f t="shared" ca="1" si="34"/>
        <v>#VALUE!</v>
      </c>
      <c r="V127" s="180" t="e">
        <f ca="1">Q127*1000000000/($B$22*'1a. Spredningsmodell input'!$C$26*1000)</f>
        <v>#VALUE!</v>
      </c>
      <c r="W127" s="44" t="e">
        <f t="shared" ca="1" si="35"/>
        <v>#VALUE!</v>
      </c>
      <c r="X127" s="167" t="e">
        <f t="shared" ca="1" si="36"/>
        <v>#VALUE!</v>
      </c>
      <c r="Y127" s="102" t="e">
        <f ca="1">(U127/1000000)*('1a. Spredningsmodell input'!$B$49)*'1a. Spredningsmodell input'!$C$35</f>
        <v>#VALUE!</v>
      </c>
      <c r="Z127" s="37" t="e">
        <f ca="1">(V127/1000000)*('1a. Spredningsmodell input'!$B$49)*'1a. Spredningsmodell input'!$C$35</f>
        <v>#VALUE!</v>
      </c>
      <c r="AA127" s="37" t="e">
        <f t="shared" ca="1" si="37"/>
        <v>#VALUE!</v>
      </c>
      <c r="AB127" s="1" t="e">
        <f t="shared" ca="1" si="38"/>
        <v>#VALUE!</v>
      </c>
      <c r="AC127" s="37" t="e">
        <f t="shared" ca="1" si="39"/>
        <v>#VALUE!</v>
      </c>
      <c r="AD127" s="31"/>
      <c r="AE127"/>
      <c r="AL127"/>
    </row>
    <row r="128" spans="7:38" x14ac:dyDescent="0.35">
      <c r="G128">
        <v>545</v>
      </c>
      <c r="H128">
        <f>'1a. Spredningsmodell input'!$I$2+G128</f>
        <v>545</v>
      </c>
      <c r="I128" t="e">
        <f t="shared" ca="1" si="23"/>
        <v>#VALUE!</v>
      </c>
      <c r="J128" t="e">
        <f t="shared" ca="1" si="24"/>
        <v>#VALUE!</v>
      </c>
      <c r="K128" t="e">
        <f t="shared" ca="1" si="25"/>
        <v>#VALUE!</v>
      </c>
      <c r="L128" t="e">
        <f t="shared" ca="1" si="40"/>
        <v>#VALUE!</v>
      </c>
      <c r="M128" t="e">
        <f t="shared" ca="1" si="26"/>
        <v>#VALUE!</v>
      </c>
      <c r="N128" s="22" t="e">
        <f t="shared" ca="1" si="27"/>
        <v>#VALUE!</v>
      </c>
      <c r="O128" t="e">
        <f t="shared" ca="1" si="28"/>
        <v>#VALUE!</v>
      </c>
      <c r="P128" s="31" t="e">
        <f t="shared" ca="1" si="29"/>
        <v>#VALUE!</v>
      </c>
      <c r="Q128" s="31" t="e">
        <f t="shared" ca="1" si="30"/>
        <v>#VALUE!</v>
      </c>
      <c r="R128" s="31" t="e">
        <f t="shared" ca="1" si="31"/>
        <v>#VALUE!</v>
      </c>
      <c r="S128" s="10" t="e">
        <f t="shared" ca="1" si="32"/>
        <v>#VALUE!</v>
      </c>
      <c r="T128" s="10" t="e">
        <f t="shared" ca="1" si="33"/>
        <v>#VALUE!</v>
      </c>
      <c r="U128" s="45" t="e">
        <f t="shared" ca="1" si="34"/>
        <v>#VALUE!</v>
      </c>
      <c r="V128" s="180" t="e">
        <f ca="1">Q128*1000000000/($B$22*'1a. Spredningsmodell input'!$C$26*1000)</f>
        <v>#VALUE!</v>
      </c>
      <c r="W128" s="44" t="e">
        <f t="shared" ca="1" si="35"/>
        <v>#VALUE!</v>
      </c>
      <c r="X128" s="167" t="e">
        <f t="shared" ca="1" si="36"/>
        <v>#VALUE!</v>
      </c>
      <c r="Y128" s="102" t="e">
        <f ca="1">(U128/1000000)*('1a. Spredningsmodell input'!$B$49)*'1a. Spredningsmodell input'!$C$35</f>
        <v>#VALUE!</v>
      </c>
      <c r="Z128" s="37" t="e">
        <f ca="1">(V128/1000000)*('1a. Spredningsmodell input'!$B$49)*'1a. Spredningsmodell input'!$C$35</f>
        <v>#VALUE!</v>
      </c>
      <c r="AA128" s="37" t="e">
        <f t="shared" ca="1" si="37"/>
        <v>#VALUE!</v>
      </c>
      <c r="AB128" s="1" t="e">
        <f t="shared" ca="1" si="38"/>
        <v>#VALUE!</v>
      </c>
      <c r="AC128" s="37" t="e">
        <f t="shared" ca="1" si="39"/>
        <v>#VALUE!</v>
      </c>
      <c r="AD128"/>
      <c r="AE128" s="31"/>
      <c r="AL128"/>
    </row>
    <row r="129" spans="7:38" x14ac:dyDescent="0.35">
      <c r="G129">
        <v>550</v>
      </c>
      <c r="H129">
        <f>'1a. Spredningsmodell input'!$I$2+G129</f>
        <v>550</v>
      </c>
      <c r="I129" t="e">
        <f t="shared" ca="1" si="23"/>
        <v>#VALUE!</v>
      </c>
      <c r="J129" t="e">
        <f t="shared" ca="1" si="24"/>
        <v>#VALUE!</v>
      </c>
      <c r="K129" t="e">
        <f t="shared" ca="1" si="25"/>
        <v>#VALUE!</v>
      </c>
      <c r="L129" t="e">
        <f t="shared" ca="1" si="40"/>
        <v>#VALUE!</v>
      </c>
      <c r="M129" t="e">
        <f t="shared" ca="1" si="26"/>
        <v>#VALUE!</v>
      </c>
      <c r="N129" s="22" t="e">
        <f t="shared" ca="1" si="27"/>
        <v>#VALUE!</v>
      </c>
      <c r="O129" t="e">
        <f t="shared" ca="1" si="28"/>
        <v>#VALUE!</v>
      </c>
      <c r="P129" s="31" t="e">
        <f t="shared" ca="1" si="29"/>
        <v>#VALUE!</v>
      </c>
      <c r="Q129" s="31" t="e">
        <f t="shared" ca="1" si="30"/>
        <v>#VALUE!</v>
      </c>
      <c r="R129" s="31" t="e">
        <f t="shared" ca="1" si="31"/>
        <v>#VALUE!</v>
      </c>
      <c r="S129" s="10" t="e">
        <f t="shared" ca="1" si="32"/>
        <v>#VALUE!</v>
      </c>
      <c r="T129" s="10" t="e">
        <f t="shared" ca="1" si="33"/>
        <v>#VALUE!</v>
      </c>
      <c r="U129" s="45" t="e">
        <f t="shared" ca="1" si="34"/>
        <v>#VALUE!</v>
      </c>
      <c r="V129" s="180" t="e">
        <f ca="1">Q129*1000000000/($B$22*'1a. Spredningsmodell input'!$C$26*1000)</f>
        <v>#VALUE!</v>
      </c>
      <c r="W129" s="44" t="e">
        <f t="shared" ca="1" si="35"/>
        <v>#VALUE!</v>
      </c>
      <c r="X129" s="167" t="e">
        <f t="shared" ca="1" si="36"/>
        <v>#VALUE!</v>
      </c>
      <c r="Y129" s="102" t="e">
        <f ca="1">(U129/1000000)*('1a. Spredningsmodell input'!$B$49)*'1a. Spredningsmodell input'!$C$35</f>
        <v>#VALUE!</v>
      </c>
      <c r="Z129" s="37" t="e">
        <f ca="1">(V129/1000000)*('1a. Spredningsmodell input'!$B$49)*'1a. Spredningsmodell input'!$C$35</f>
        <v>#VALUE!</v>
      </c>
      <c r="AA129" s="37" t="e">
        <f t="shared" ca="1" si="37"/>
        <v>#VALUE!</v>
      </c>
      <c r="AB129" s="1" t="e">
        <f t="shared" ca="1" si="38"/>
        <v>#VALUE!</v>
      </c>
      <c r="AC129" s="37" t="e">
        <f t="shared" ca="1" si="39"/>
        <v>#VALUE!</v>
      </c>
      <c r="AD129"/>
      <c r="AE129" s="31"/>
      <c r="AL129"/>
    </row>
    <row r="130" spans="7:38" x14ac:dyDescent="0.35">
      <c r="G130">
        <v>555</v>
      </c>
      <c r="H130">
        <f>'1a. Spredningsmodell input'!$I$2+G130</f>
        <v>555</v>
      </c>
      <c r="I130" t="e">
        <f t="shared" ca="1" si="23"/>
        <v>#VALUE!</v>
      </c>
      <c r="J130" t="e">
        <f t="shared" ca="1" si="24"/>
        <v>#VALUE!</v>
      </c>
      <c r="K130" t="e">
        <f t="shared" ca="1" si="25"/>
        <v>#VALUE!</v>
      </c>
      <c r="L130" t="e">
        <f t="shared" ca="1" si="40"/>
        <v>#VALUE!</v>
      </c>
      <c r="M130" t="e">
        <f t="shared" ca="1" si="26"/>
        <v>#VALUE!</v>
      </c>
      <c r="N130" s="22" t="e">
        <f t="shared" ca="1" si="27"/>
        <v>#VALUE!</v>
      </c>
      <c r="O130" t="e">
        <f t="shared" ca="1" si="28"/>
        <v>#VALUE!</v>
      </c>
      <c r="P130" s="18" t="e">
        <f t="shared" ca="1" si="29"/>
        <v>#VALUE!</v>
      </c>
      <c r="Q130" s="18" t="e">
        <f t="shared" ca="1" si="30"/>
        <v>#VALUE!</v>
      </c>
      <c r="R130" s="19" t="e">
        <f t="shared" ca="1" si="31"/>
        <v>#VALUE!</v>
      </c>
      <c r="S130" s="10" t="e">
        <f t="shared" ca="1" si="32"/>
        <v>#VALUE!</v>
      </c>
      <c r="T130" s="10" t="e">
        <f t="shared" ca="1" si="33"/>
        <v>#VALUE!</v>
      </c>
      <c r="U130" s="45" t="e">
        <f t="shared" ca="1" si="34"/>
        <v>#VALUE!</v>
      </c>
      <c r="V130" s="180" t="e">
        <f ca="1">Q130*1000000000/($B$22*'1a. Spredningsmodell input'!$C$26*1000)</f>
        <v>#VALUE!</v>
      </c>
      <c r="W130" s="44" t="e">
        <f t="shared" ca="1" si="35"/>
        <v>#VALUE!</v>
      </c>
      <c r="X130" s="167" t="e">
        <f t="shared" ca="1" si="36"/>
        <v>#VALUE!</v>
      </c>
      <c r="Y130" s="102" t="e">
        <f ca="1">(U130/1000000)*('1a. Spredningsmodell input'!$B$49)*'1a. Spredningsmodell input'!$C$35</f>
        <v>#VALUE!</v>
      </c>
      <c r="Z130" s="37" t="e">
        <f ca="1">(V130/1000000)*('1a. Spredningsmodell input'!$B$49)*'1a. Spredningsmodell input'!$C$35</f>
        <v>#VALUE!</v>
      </c>
      <c r="AA130" s="37" t="e">
        <f t="shared" ca="1" si="37"/>
        <v>#VALUE!</v>
      </c>
      <c r="AB130" s="1" t="e">
        <f t="shared" ca="1" si="38"/>
        <v>#VALUE!</v>
      </c>
      <c r="AC130" s="37" t="e">
        <f t="shared" ca="1" si="39"/>
        <v>#VALUE!</v>
      </c>
      <c r="AD130"/>
      <c r="AE130" s="31"/>
      <c r="AL130"/>
    </row>
    <row r="131" spans="7:38" x14ac:dyDescent="0.35">
      <c r="G131">
        <v>560</v>
      </c>
      <c r="H131">
        <f>'1a. Spredningsmodell input'!$I$2+G131</f>
        <v>560</v>
      </c>
      <c r="I131" t="e">
        <f t="shared" ca="1" si="23"/>
        <v>#VALUE!</v>
      </c>
      <c r="J131" t="e">
        <f t="shared" ca="1" si="24"/>
        <v>#VALUE!</v>
      </c>
      <c r="K131" t="e">
        <f t="shared" ca="1" si="25"/>
        <v>#VALUE!</v>
      </c>
      <c r="L131" t="e">
        <f t="shared" ca="1" si="40"/>
        <v>#VALUE!</v>
      </c>
      <c r="M131" t="e">
        <f t="shared" ca="1" si="26"/>
        <v>#VALUE!</v>
      </c>
      <c r="N131" s="22" t="e">
        <f t="shared" ca="1" si="27"/>
        <v>#VALUE!</v>
      </c>
      <c r="O131" t="e">
        <f t="shared" ca="1" si="28"/>
        <v>#VALUE!</v>
      </c>
      <c r="P131" s="31" t="e">
        <f t="shared" ca="1" si="29"/>
        <v>#VALUE!</v>
      </c>
      <c r="Q131" s="31" t="e">
        <f t="shared" ca="1" si="30"/>
        <v>#VALUE!</v>
      </c>
      <c r="R131" s="31" t="e">
        <f t="shared" ca="1" si="31"/>
        <v>#VALUE!</v>
      </c>
      <c r="S131" s="10" t="e">
        <f t="shared" ca="1" si="32"/>
        <v>#VALUE!</v>
      </c>
      <c r="T131" s="10" t="e">
        <f t="shared" ca="1" si="33"/>
        <v>#VALUE!</v>
      </c>
      <c r="U131" s="45" t="e">
        <f t="shared" ca="1" si="34"/>
        <v>#VALUE!</v>
      </c>
      <c r="V131" s="180" t="e">
        <f ca="1">Q131*1000000000/($B$22*'1a. Spredningsmodell input'!$C$26*1000)</f>
        <v>#VALUE!</v>
      </c>
      <c r="W131" s="44" t="e">
        <f t="shared" ca="1" si="35"/>
        <v>#VALUE!</v>
      </c>
      <c r="X131" s="167" t="e">
        <f t="shared" ca="1" si="36"/>
        <v>#VALUE!</v>
      </c>
      <c r="Y131" s="102" t="e">
        <f ca="1">(U131/1000000)*('1a. Spredningsmodell input'!$B$49)*'1a. Spredningsmodell input'!$C$35</f>
        <v>#VALUE!</v>
      </c>
      <c r="Z131" s="37" t="e">
        <f ca="1">(V131/1000000)*('1a. Spredningsmodell input'!$B$49)*'1a. Spredningsmodell input'!$C$35</f>
        <v>#VALUE!</v>
      </c>
      <c r="AA131" s="37" t="e">
        <f t="shared" ca="1" si="37"/>
        <v>#VALUE!</v>
      </c>
      <c r="AB131" s="1" t="e">
        <f t="shared" ca="1" si="38"/>
        <v>#VALUE!</v>
      </c>
      <c r="AC131" s="37" t="e">
        <f t="shared" ca="1" si="39"/>
        <v>#VALUE!</v>
      </c>
      <c r="AD131"/>
      <c r="AE131" s="31"/>
      <c r="AL131"/>
    </row>
    <row r="132" spans="7:38" x14ac:dyDescent="0.35">
      <c r="G132">
        <v>565</v>
      </c>
      <c r="H132">
        <f>'1a. Spredningsmodell input'!$I$2+G132</f>
        <v>565</v>
      </c>
      <c r="I132" t="e">
        <f t="shared" ca="1" si="23"/>
        <v>#VALUE!</v>
      </c>
      <c r="J132" t="e">
        <f t="shared" ca="1" si="24"/>
        <v>#VALUE!</v>
      </c>
      <c r="K132" t="e">
        <f t="shared" ca="1" si="25"/>
        <v>#VALUE!</v>
      </c>
      <c r="L132" t="e">
        <f t="shared" ca="1" si="40"/>
        <v>#VALUE!</v>
      </c>
      <c r="M132" t="e">
        <f t="shared" ca="1" si="26"/>
        <v>#VALUE!</v>
      </c>
      <c r="N132" s="22" t="e">
        <f t="shared" ca="1" si="27"/>
        <v>#VALUE!</v>
      </c>
      <c r="O132" t="e">
        <f t="shared" ca="1" si="28"/>
        <v>#VALUE!</v>
      </c>
      <c r="P132" s="31" t="e">
        <f t="shared" ca="1" si="29"/>
        <v>#VALUE!</v>
      </c>
      <c r="Q132" s="31" t="e">
        <f t="shared" ca="1" si="30"/>
        <v>#VALUE!</v>
      </c>
      <c r="R132" s="31" t="e">
        <f t="shared" ca="1" si="31"/>
        <v>#VALUE!</v>
      </c>
      <c r="S132" s="10" t="e">
        <f t="shared" ca="1" si="32"/>
        <v>#VALUE!</v>
      </c>
      <c r="T132" s="10" t="e">
        <f t="shared" ca="1" si="33"/>
        <v>#VALUE!</v>
      </c>
      <c r="U132" s="45" t="e">
        <f t="shared" ca="1" si="34"/>
        <v>#VALUE!</v>
      </c>
      <c r="V132" s="180" t="e">
        <f ca="1">Q132*1000000000/($B$22*'1a. Spredningsmodell input'!$C$26*1000)</f>
        <v>#VALUE!</v>
      </c>
      <c r="W132" s="44" t="e">
        <f t="shared" ca="1" si="35"/>
        <v>#VALUE!</v>
      </c>
      <c r="X132" s="167" t="e">
        <f t="shared" ca="1" si="36"/>
        <v>#VALUE!</v>
      </c>
      <c r="Y132" s="102" t="e">
        <f ca="1">(U132/1000000)*('1a. Spredningsmodell input'!$B$49)*'1a. Spredningsmodell input'!$C$35</f>
        <v>#VALUE!</v>
      </c>
      <c r="Z132" s="37" t="e">
        <f ca="1">(V132/1000000)*('1a. Spredningsmodell input'!$B$49)*'1a. Spredningsmodell input'!$C$35</f>
        <v>#VALUE!</v>
      </c>
      <c r="AA132" s="37" t="e">
        <f t="shared" ca="1" si="37"/>
        <v>#VALUE!</v>
      </c>
      <c r="AB132" s="1" t="e">
        <f t="shared" ca="1" si="38"/>
        <v>#VALUE!</v>
      </c>
      <c r="AC132" s="37" t="e">
        <f t="shared" ca="1" si="39"/>
        <v>#VALUE!</v>
      </c>
      <c r="AD132"/>
      <c r="AE132" s="31"/>
      <c r="AL132"/>
    </row>
    <row r="133" spans="7:38" x14ac:dyDescent="0.35">
      <c r="G133">
        <v>570</v>
      </c>
      <c r="H133">
        <f>'1a. Spredningsmodell input'!$I$2+G133</f>
        <v>570</v>
      </c>
      <c r="I133" t="e">
        <f t="shared" ca="1" si="23"/>
        <v>#VALUE!</v>
      </c>
      <c r="J133" t="e">
        <f t="shared" ca="1" si="24"/>
        <v>#VALUE!</v>
      </c>
      <c r="K133" t="e">
        <f t="shared" ca="1" si="25"/>
        <v>#VALUE!</v>
      </c>
      <c r="L133" t="e">
        <f t="shared" ca="1" si="40"/>
        <v>#VALUE!</v>
      </c>
      <c r="M133" t="e">
        <f t="shared" ca="1" si="26"/>
        <v>#VALUE!</v>
      </c>
      <c r="N133" s="22" t="e">
        <f t="shared" ca="1" si="27"/>
        <v>#VALUE!</v>
      </c>
      <c r="O133" t="e">
        <f t="shared" ca="1" si="28"/>
        <v>#VALUE!</v>
      </c>
      <c r="P133" s="31" t="e">
        <f t="shared" ca="1" si="29"/>
        <v>#VALUE!</v>
      </c>
      <c r="Q133" s="31" t="e">
        <f t="shared" ca="1" si="30"/>
        <v>#VALUE!</v>
      </c>
      <c r="R133" s="31" t="e">
        <f t="shared" ca="1" si="31"/>
        <v>#VALUE!</v>
      </c>
      <c r="S133" s="10" t="e">
        <f t="shared" ca="1" si="32"/>
        <v>#VALUE!</v>
      </c>
      <c r="T133" s="10" t="e">
        <f t="shared" ca="1" si="33"/>
        <v>#VALUE!</v>
      </c>
      <c r="U133" s="45" t="e">
        <f t="shared" ca="1" si="34"/>
        <v>#VALUE!</v>
      </c>
      <c r="V133" s="180" t="e">
        <f ca="1">Q133*1000000000/($B$22*'1a. Spredningsmodell input'!$C$26*1000)</f>
        <v>#VALUE!</v>
      </c>
      <c r="W133" s="44" t="e">
        <f t="shared" ca="1" si="35"/>
        <v>#VALUE!</v>
      </c>
      <c r="X133" s="167" t="e">
        <f t="shared" ca="1" si="36"/>
        <v>#VALUE!</v>
      </c>
      <c r="Y133" s="102" t="e">
        <f ca="1">(U133/1000000)*('1a. Spredningsmodell input'!$B$49)*'1a. Spredningsmodell input'!$C$35</f>
        <v>#VALUE!</v>
      </c>
      <c r="Z133" s="37" t="e">
        <f ca="1">(V133/1000000)*('1a. Spredningsmodell input'!$B$49)*'1a. Spredningsmodell input'!$C$35</f>
        <v>#VALUE!</v>
      </c>
      <c r="AA133" s="37" t="e">
        <f t="shared" ca="1" si="37"/>
        <v>#VALUE!</v>
      </c>
      <c r="AB133" s="1" t="e">
        <f t="shared" ca="1" si="38"/>
        <v>#VALUE!</v>
      </c>
      <c r="AC133" s="37" t="e">
        <f t="shared" ca="1" si="39"/>
        <v>#VALUE!</v>
      </c>
      <c r="AD133"/>
      <c r="AE133" s="31"/>
      <c r="AL133"/>
    </row>
    <row r="134" spans="7:38" x14ac:dyDescent="0.35">
      <c r="G134">
        <v>575</v>
      </c>
      <c r="H134">
        <f>'1a. Spredningsmodell input'!$I$2+G134</f>
        <v>575</v>
      </c>
      <c r="I134" t="e">
        <f t="shared" ca="1" si="23"/>
        <v>#VALUE!</v>
      </c>
      <c r="J134" t="e">
        <f t="shared" ca="1" si="24"/>
        <v>#VALUE!</v>
      </c>
      <c r="K134" t="e">
        <f t="shared" ca="1" si="25"/>
        <v>#VALUE!</v>
      </c>
      <c r="L134" t="e">
        <f t="shared" ca="1" si="40"/>
        <v>#VALUE!</v>
      </c>
      <c r="M134" t="e">
        <f t="shared" ca="1" si="26"/>
        <v>#VALUE!</v>
      </c>
      <c r="N134" s="22" t="e">
        <f t="shared" ca="1" si="27"/>
        <v>#VALUE!</v>
      </c>
      <c r="O134" t="e">
        <f t="shared" ca="1" si="28"/>
        <v>#VALUE!</v>
      </c>
      <c r="P134" s="18" t="e">
        <f t="shared" ca="1" si="29"/>
        <v>#VALUE!</v>
      </c>
      <c r="Q134" s="18" t="e">
        <f t="shared" ca="1" si="30"/>
        <v>#VALUE!</v>
      </c>
      <c r="R134" s="19" t="e">
        <f t="shared" ca="1" si="31"/>
        <v>#VALUE!</v>
      </c>
      <c r="S134" s="10" t="e">
        <f t="shared" ca="1" si="32"/>
        <v>#VALUE!</v>
      </c>
      <c r="T134" s="10" t="e">
        <f t="shared" ca="1" si="33"/>
        <v>#VALUE!</v>
      </c>
      <c r="U134" s="45" t="e">
        <f t="shared" ca="1" si="34"/>
        <v>#VALUE!</v>
      </c>
      <c r="V134" s="180" t="e">
        <f ca="1">Q134*1000000000/($B$22*'1a. Spredningsmodell input'!$C$26*1000)</f>
        <v>#VALUE!</v>
      </c>
      <c r="W134" s="44" t="e">
        <f t="shared" ca="1" si="35"/>
        <v>#VALUE!</v>
      </c>
      <c r="X134" s="167" t="e">
        <f t="shared" ca="1" si="36"/>
        <v>#VALUE!</v>
      </c>
      <c r="Y134" s="102" t="e">
        <f ca="1">(U134/1000000)*('1a. Spredningsmodell input'!$B$49)*'1a. Spredningsmodell input'!$C$35</f>
        <v>#VALUE!</v>
      </c>
      <c r="Z134" s="37" t="e">
        <f ca="1">(V134/1000000)*('1a. Spredningsmodell input'!$B$49)*'1a. Spredningsmodell input'!$C$35</f>
        <v>#VALUE!</v>
      </c>
      <c r="AA134" s="37" t="e">
        <f t="shared" ca="1" si="37"/>
        <v>#VALUE!</v>
      </c>
      <c r="AB134" s="1" t="e">
        <f t="shared" ca="1" si="38"/>
        <v>#VALUE!</v>
      </c>
      <c r="AC134" s="37" t="e">
        <f t="shared" ca="1" si="39"/>
        <v>#VALUE!</v>
      </c>
      <c r="AD134"/>
      <c r="AE134" s="31"/>
      <c r="AL134"/>
    </row>
    <row r="135" spans="7:38" x14ac:dyDescent="0.35">
      <c r="G135">
        <v>580</v>
      </c>
      <c r="H135">
        <f>'1a. Spredningsmodell input'!$I$2+G135</f>
        <v>580</v>
      </c>
      <c r="I135" t="e">
        <f t="shared" ca="1" si="23"/>
        <v>#VALUE!</v>
      </c>
      <c r="J135" t="e">
        <f t="shared" ca="1" si="24"/>
        <v>#VALUE!</v>
      </c>
      <c r="K135" t="e">
        <f t="shared" ca="1" si="25"/>
        <v>#VALUE!</v>
      </c>
      <c r="L135" t="e">
        <f t="shared" ca="1" si="40"/>
        <v>#VALUE!</v>
      </c>
      <c r="M135" t="e">
        <f t="shared" ca="1" si="26"/>
        <v>#VALUE!</v>
      </c>
      <c r="N135" s="22" t="e">
        <f t="shared" ca="1" si="27"/>
        <v>#VALUE!</v>
      </c>
      <c r="O135" t="e">
        <f t="shared" ca="1" si="28"/>
        <v>#VALUE!</v>
      </c>
      <c r="P135" s="31" t="e">
        <f t="shared" ca="1" si="29"/>
        <v>#VALUE!</v>
      </c>
      <c r="Q135" s="31" t="e">
        <f t="shared" ca="1" si="30"/>
        <v>#VALUE!</v>
      </c>
      <c r="R135" s="31" t="e">
        <f t="shared" ca="1" si="31"/>
        <v>#VALUE!</v>
      </c>
      <c r="S135" s="10" t="e">
        <f t="shared" ca="1" si="32"/>
        <v>#VALUE!</v>
      </c>
      <c r="T135" s="10" t="e">
        <f t="shared" ca="1" si="33"/>
        <v>#VALUE!</v>
      </c>
      <c r="U135" s="45" t="e">
        <f t="shared" ca="1" si="34"/>
        <v>#VALUE!</v>
      </c>
      <c r="V135" s="180" t="e">
        <f ca="1">Q135*1000000000/($B$22*'1a. Spredningsmodell input'!$C$26*1000)</f>
        <v>#VALUE!</v>
      </c>
      <c r="W135" s="44" t="e">
        <f t="shared" ca="1" si="35"/>
        <v>#VALUE!</v>
      </c>
      <c r="X135" s="167" t="e">
        <f t="shared" ca="1" si="36"/>
        <v>#VALUE!</v>
      </c>
      <c r="Y135" s="102" t="e">
        <f ca="1">(U135/1000000)*('1a. Spredningsmodell input'!$B$49)*'1a. Spredningsmodell input'!$C$35</f>
        <v>#VALUE!</v>
      </c>
      <c r="Z135" s="37" t="e">
        <f ca="1">(V135/1000000)*('1a. Spredningsmodell input'!$B$49)*'1a. Spredningsmodell input'!$C$35</f>
        <v>#VALUE!</v>
      </c>
      <c r="AA135" s="37" t="e">
        <f t="shared" ca="1" si="37"/>
        <v>#VALUE!</v>
      </c>
      <c r="AB135" s="1" t="e">
        <f t="shared" ca="1" si="38"/>
        <v>#VALUE!</v>
      </c>
      <c r="AC135" s="37" t="e">
        <f t="shared" ca="1" si="39"/>
        <v>#VALUE!</v>
      </c>
      <c r="AD135"/>
      <c r="AE135" s="31"/>
      <c r="AL135"/>
    </row>
    <row r="136" spans="7:38" x14ac:dyDescent="0.35">
      <c r="G136">
        <v>585</v>
      </c>
      <c r="H136">
        <f>'1a. Spredningsmodell input'!$I$2+G136</f>
        <v>585</v>
      </c>
      <c r="I136" t="e">
        <f t="shared" ca="1" si="23"/>
        <v>#VALUE!</v>
      </c>
      <c r="J136" t="e">
        <f t="shared" ca="1" si="24"/>
        <v>#VALUE!</v>
      </c>
      <c r="K136" t="e">
        <f t="shared" ca="1" si="25"/>
        <v>#VALUE!</v>
      </c>
      <c r="L136" t="e">
        <f t="shared" ca="1" si="40"/>
        <v>#VALUE!</v>
      </c>
      <c r="M136" t="e">
        <f t="shared" ca="1" si="26"/>
        <v>#VALUE!</v>
      </c>
      <c r="N136" s="22" t="e">
        <f t="shared" ca="1" si="27"/>
        <v>#VALUE!</v>
      </c>
      <c r="O136" t="e">
        <f t="shared" ca="1" si="28"/>
        <v>#VALUE!</v>
      </c>
      <c r="P136" s="31" t="e">
        <f t="shared" ca="1" si="29"/>
        <v>#VALUE!</v>
      </c>
      <c r="Q136" s="31" t="e">
        <f t="shared" ca="1" si="30"/>
        <v>#VALUE!</v>
      </c>
      <c r="R136" s="31" t="e">
        <f t="shared" ca="1" si="31"/>
        <v>#VALUE!</v>
      </c>
      <c r="S136" s="10" t="e">
        <f t="shared" ca="1" si="32"/>
        <v>#VALUE!</v>
      </c>
      <c r="T136" s="10" t="e">
        <f t="shared" ca="1" si="33"/>
        <v>#VALUE!</v>
      </c>
      <c r="U136" s="45" t="e">
        <f t="shared" ca="1" si="34"/>
        <v>#VALUE!</v>
      </c>
      <c r="V136" s="180" t="e">
        <f ca="1">Q136*1000000000/($B$22*'1a. Spredningsmodell input'!$C$26*1000)</f>
        <v>#VALUE!</v>
      </c>
      <c r="W136" s="44" t="e">
        <f t="shared" ca="1" si="35"/>
        <v>#VALUE!</v>
      </c>
      <c r="X136" s="167" t="e">
        <f t="shared" ca="1" si="36"/>
        <v>#VALUE!</v>
      </c>
      <c r="Y136" s="102" t="e">
        <f ca="1">(U136/1000000)*('1a. Spredningsmodell input'!$B$49)*'1a. Spredningsmodell input'!$C$35</f>
        <v>#VALUE!</v>
      </c>
      <c r="Z136" s="37" t="e">
        <f ca="1">(V136/1000000)*('1a. Spredningsmodell input'!$B$49)*'1a. Spredningsmodell input'!$C$35</f>
        <v>#VALUE!</v>
      </c>
      <c r="AA136" s="37" t="e">
        <f t="shared" ca="1" si="37"/>
        <v>#VALUE!</v>
      </c>
      <c r="AB136" s="1" t="e">
        <f t="shared" ca="1" si="38"/>
        <v>#VALUE!</v>
      </c>
      <c r="AC136" s="37" t="e">
        <f t="shared" ca="1" si="39"/>
        <v>#VALUE!</v>
      </c>
      <c r="AD136"/>
      <c r="AE136" s="31"/>
      <c r="AL136"/>
    </row>
    <row r="137" spans="7:38" x14ac:dyDescent="0.35">
      <c r="G137">
        <v>590</v>
      </c>
      <c r="H137">
        <f>'1a. Spredningsmodell input'!$I$2+G137</f>
        <v>590</v>
      </c>
      <c r="I137" t="e">
        <f t="shared" ca="1" si="23"/>
        <v>#VALUE!</v>
      </c>
      <c r="J137" t="e">
        <f t="shared" ca="1" si="24"/>
        <v>#VALUE!</v>
      </c>
      <c r="K137" t="e">
        <f t="shared" ca="1" si="25"/>
        <v>#VALUE!</v>
      </c>
      <c r="L137" t="e">
        <f t="shared" ca="1" si="40"/>
        <v>#VALUE!</v>
      </c>
      <c r="M137" t="e">
        <f t="shared" ca="1" si="26"/>
        <v>#VALUE!</v>
      </c>
      <c r="N137" s="22" t="e">
        <f t="shared" ca="1" si="27"/>
        <v>#VALUE!</v>
      </c>
      <c r="O137" t="e">
        <f t="shared" ca="1" si="28"/>
        <v>#VALUE!</v>
      </c>
      <c r="P137" s="31" t="e">
        <f t="shared" ca="1" si="29"/>
        <v>#VALUE!</v>
      </c>
      <c r="Q137" s="31" t="e">
        <f t="shared" ca="1" si="30"/>
        <v>#VALUE!</v>
      </c>
      <c r="R137" s="31" t="e">
        <f t="shared" ca="1" si="31"/>
        <v>#VALUE!</v>
      </c>
      <c r="S137" s="10" t="e">
        <f t="shared" ca="1" si="32"/>
        <v>#VALUE!</v>
      </c>
      <c r="T137" s="10" t="e">
        <f t="shared" ca="1" si="33"/>
        <v>#VALUE!</v>
      </c>
      <c r="U137" s="45" t="e">
        <f t="shared" ca="1" si="34"/>
        <v>#VALUE!</v>
      </c>
      <c r="V137" s="180" t="e">
        <f ca="1">Q137*1000000000/($B$22*'1a. Spredningsmodell input'!$C$26*1000)</f>
        <v>#VALUE!</v>
      </c>
      <c r="W137" s="44" t="e">
        <f t="shared" ca="1" si="35"/>
        <v>#VALUE!</v>
      </c>
      <c r="X137" s="167" t="e">
        <f t="shared" ca="1" si="36"/>
        <v>#VALUE!</v>
      </c>
      <c r="Y137" s="102" t="e">
        <f ca="1">(U137/1000000)*('1a. Spredningsmodell input'!$B$49)*'1a. Spredningsmodell input'!$C$35</f>
        <v>#VALUE!</v>
      </c>
      <c r="Z137" s="37" t="e">
        <f ca="1">(V137/1000000)*('1a. Spredningsmodell input'!$B$49)*'1a. Spredningsmodell input'!$C$35</f>
        <v>#VALUE!</v>
      </c>
      <c r="AA137" s="37" t="e">
        <f t="shared" ca="1" si="37"/>
        <v>#VALUE!</v>
      </c>
      <c r="AB137" s="1" t="e">
        <f t="shared" ca="1" si="38"/>
        <v>#VALUE!</v>
      </c>
      <c r="AC137" s="37" t="e">
        <f t="shared" ca="1" si="39"/>
        <v>#VALUE!</v>
      </c>
      <c r="AD137"/>
      <c r="AE137" s="31"/>
      <c r="AL137"/>
    </row>
    <row r="138" spans="7:38" x14ac:dyDescent="0.35">
      <c r="G138">
        <v>595</v>
      </c>
      <c r="H138">
        <f>'1a. Spredningsmodell input'!$I$2+G138</f>
        <v>595</v>
      </c>
      <c r="I138" t="e">
        <f t="shared" ca="1" si="23"/>
        <v>#VALUE!</v>
      </c>
      <c r="J138" t="e">
        <f t="shared" ca="1" si="24"/>
        <v>#VALUE!</v>
      </c>
      <c r="K138" t="e">
        <f t="shared" ca="1" si="25"/>
        <v>#VALUE!</v>
      </c>
      <c r="L138" t="e">
        <f t="shared" ca="1" si="40"/>
        <v>#VALUE!</v>
      </c>
      <c r="M138" t="e">
        <f t="shared" ca="1" si="26"/>
        <v>#VALUE!</v>
      </c>
      <c r="N138" s="22" t="e">
        <f t="shared" ca="1" si="27"/>
        <v>#VALUE!</v>
      </c>
      <c r="O138" t="e">
        <f t="shared" ca="1" si="28"/>
        <v>#VALUE!</v>
      </c>
      <c r="P138" s="18" t="e">
        <f t="shared" ca="1" si="29"/>
        <v>#VALUE!</v>
      </c>
      <c r="Q138" s="18" t="e">
        <f t="shared" ca="1" si="30"/>
        <v>#VALUE!</v>
      </c>
      <c r="R138" s="19" t="e">
        <f t="shared" ca="1" si="31"/>
        <v>#VALUE!</v>
      </c>
      <c r="S138" s="10" t="e">
        <f t="shared" ca="1" si="32"/>
        <v>#VALUE!</v>
      </c>
      <c r="T138" s="10" t="e">
        <f t="shared" ca="1" si="33"/>
        <v>#VALUE!</v>
      </c>
      <c r="U138" s="45" t="e">
        <f t="shared" ca="1" si="34"/>
        <v>#VALUE!</v>
      </c>
      <c r="V138" s="180" t="e">
        <f ca="1">Q138*1000000000/($B$22*'1a. Spredningsmodell input'!$C$26*1000)</f>
        <v>#VALUE!</v>
      </c>
      <c r="W138" s="44" t="e">
        <f t="shared" ca="1" si="35"/>
        <v>#VALUE!</v>
      </c>
      <c r="X138" s="167" t="e">
        <f t="shared" ca="1" si="36"/>
        <v>#VALUE!</v>
      </c>
      <c r="Y138" s="102" t="e">
        <f ca="1">(U138/1000000)*('1a. Spredningsmodell input'!$B$49)*'1a. Spredningsmodell input'!$C$35</f>
        <v>#VALUE!</v>
      </c>
      <c r="Z138" s="37" t="e">
        <f ca="1">(V138/1000000)*('1a. Spredningsmodell input'!$B$49)*'1a. Spredningsmodell input'!$C$35</f>
        <v>#VALUE!</v>
      </c>
      <c r="AA138" s="37" t="e">
        <f t="shared" ca="1" si="37"/>
        <v>#VALUE!</v>
      </c>
      <c r="AB138" s="1" t="e">
        <f t="shared" ca="1" si="38"/>
        <v>#VALUE!</v>
      </c>
      <c r="AC138" s="37" t="e">
        <f t="shared" ca="1" si="39"/>
        <v>#VALUE!</v>
      </c>
      <c r="AD138"/>
      <c r="AE138" s="31"/>
      <c r="AL138"/>
    </row>
    <row r="139" spans="7:38" x14ac:dyDescent="0.35">
      <c r="G139">
        <v>600</v>
      </c>
      <c r="H139">
        <f>'1a. Spredningsmodell input'!$I$2+G139</f>
        <v>600</v>
      </c>
      <c r="I139" t="e">
        <f t="shared" ca="1" si="23"/>
        <v>#VALUE!</v>
      </c>
      <c r="J139" t="e">
        <f t="shared" ca="1" si="24"/>
        <v>#VALUE!</v>
      </c>
      <c r="K139" t="e">
        <f t="shared" ca="1" si="25"/>
        <v>#VALUE!</v>
      </c>
      <c r="L139" t="e">
        <f t="shared" ca="1" si="40"/>
        <v>#VALUE!</v>
      </c>
      <c r="M139" t="e">
        <f t="shared" ca="1" si="26"/>
        <v>#VALUE!</v>
      </c>
      <c r="N139" s="22" t="e">
        <f t="shared" ca="1" si="27"/>
        <v>#VALUE!</v>
      </c>
      <c r="O139" t="e">
        <f t="shared" ca="1" si="28"/>
        <v>#VALUE!</v>
      </c>
      <c r="P139" s="31" t="e">
        <f t="shared" ca="1" si="29"/>
        <v>#VALUE!</v>
      </c>
      <c r="Q139" s="31" t="e">
        <f t="shared" ca="1" si="30"/>
        <v>#VALUE!</v>
      </c>
      <c r="R139" s="31" t="e">
        <f t="shared" ca="1" si="31"/>
        <v>#VALUE!</v>
      </c>
      <c r="S139" s="10" t="e">
        <f t="shared" ca="1" si="32"/>
        <v>#VALUE!</v>
      </c>
      <c r="T139" s="10" t="e">
        <f t="shared" ca="1" si="33"/>
        <v>#VALUE!</v>
      </c>
      <c r="U139" s="45" t="e">
        <f t="shared" ca="1" si="34"/>
        <v>#VALUE!</v>
      </c>
      <c r="V139" s="180" t="e">
        <f ca="1">Q139*1000000000/($B$22*'1a. Spredningsmodell input'!$C$26*1000)</f>
        <v>#VALUE!</v>
      </c>
      <c r="W139" s="44" t="e">
        <f t="shared" ca="1" si="35"/>
        <v>#VALUE!</v>
      </c>
      <c r="X139" s="167" t="e">
        <f t="shared" ca="1" si="36"/>
        <v>#VALUE!</v>
      </c>
      <c r="Y139" s="102" t="e">
        <f ca="1">(U139/1000000)*('1a. Spredningsmodell input'!$B$49)*'1a. Spredningsmodell input'!$C$35</f>
        <v>#VALUE!</v>
      </c>
      <c r="Z139" s="37" t="e">
        <f ca="1">(V139/1000000)*('1a. Spredningsmodell input'!$B$49)*'1a. Spredningsmodell input'!$C$35</f>
        <v>#VALUE!</v>
      </c>
      <c r="AA139" s="37" t="e">
        <f t="shared" ca="1" si="37"/>
        <v>#VALUE!</v>
      </c>
      <c r="AB139" s="1" t="e">
        <f t="shared" ca="1" si="38"/>
        <v>#VALUE!</v>
      </c>
      <c r="AC139" s="37" t="e">
        <f t="shared" ca="1" si="39"/>
        <v>#VALUE!</v>
      </c>
      <c r="AD139"/>
      <c r="AE139" s="31"/>
      <c r="AL139"/>
    </row>
    <row r="140" spans="7:38" x14ac:dyDescent="0.35">
      <c r="G140">
        <v>605</v>
      </c>
      <c r="H140">
        <f>'1a. Spredningsmodell input'!$I$2+G140</f>
        <v>605</v>
      </c>
      <c r="I140" t="e">
        <f t="shared" ca="1" si="23"/>
        <v>#VALUE!</v>
      </c>
      <c r="J140" t="e">
        <f t="shared" ca="1" si="24"/>
        <v>#VALUE!</v>
      </c>
      <c r="K140" t="e">
        <f t="shared" ca="1" si="25"/>
        <v>#VALUE!</v>
      </c>
      <c r="L140" t="e">
        <f t="shared" ca="1" si="40"/>
        <v>#VALUE!</v>
      </c>
      <c r="M140" t="e">
        <f t="shared" ca="1" si="26"/>
        <v>#VALUE!</v>
      </c>
      <c r="N140" s="22" t="e">
        <f t="shared" ca="1" si="27"/>
        <v>#VALUE!</v>
      </c>
      <c r="O140" t="e">
        <f t="shared" ca="1" si="28"/>
        <v>#VALUE!</v>
      </c>
      <c r="P140" s="31" t="e">
        <f t="shared" ca="1" si="29"/>
        <v>#VALUE!</v>
      </c>
      <c r="Q140" s="31" t="e">
        <f t="shared" ca="1" si="30"/>
        <v>#VALUE!</v>
      </c>
      <c r="R140" s="31" t="e">
        <f t="shared" ca="1" si="31"/>
        <v>#VALUE!</v>
      </c>
      <c r="S140" s="10" t="e">
        <f t="shared" ca="1" si="32"/>
        <v>#VALUE!</v>
      </c>
      <c r="T140" s="10" t="e">
        <f t="shared" ca="1" si="33"/>
        <v>#VALUE!</v>
      </c>
      <c r="U140" s="45" t="e">
        <f t="shared" ca="1" si="34"/>
        <v>#VALUE!</v>
      </c>
      <c r="V140" s="180" t="e">
        <f ca="1">Q140*1000000000/($B$22*'1a. Spredningsmodell input'!$C$26*1000)</f>
        <v>#VALUE!</v>
      </c>
      <c r="W140" s="44" t="e">
        <f t="shared" ca="1" si="35"/>
        <v>#VALUE!</v>
      </c>
      <c r="X140" s="167" t="e">
        <f t="shared" ca="1" si="36"/>
        <v>#VALUE!</v>
      </c>
      <c r="Y140" s="102" t="e">
        <f ca="1">(U140/1000000)*('1a. Spredningsmodell input'!$B$49)*'1a. Spredningsmodell input'!$C$35</f>
        <v>#VALUE!</v>
      </c>
      <c r="Z140" s="37" t="e">
        <f ca="1">(V140/1000000)*('1a. Spredningsmodell input'!$B$49)*'1a. Spredningsmodell input'!$C$35</f>
        <v>#VALUE!</v>
      </c>
      <c r="AA140" s="37" t="e">
        <f t="shared" ca="1" si="37"/>
        <v>#VALUE!</v>
      </c>
      <c r="AB140" s="1" t="e">
        <f t="shared" ca="1" si="38"/>
        <v>#VALUE!</v>
      </c>
      <c r="AC140" s="37" t="e">
        <f t="shared" ca="1" si="39"/>
        <v>#VALUE!</v>
      </c>
      <c r="AD140"/>
      <c r="AE140" s="31"/>
      <c r="AL140"/>
    </row>
    <row r="141" spans="7:38" x14ac:dyDescent="0.35">
      <c r="G141">
        <v>610</v>
      </c>
      <c r="H141">
        <f>'1a. Spredningsmodell input'!$I$2+G141</f>
        <v>610</v>
      </c>
      <c r="I141" t="e">
        <f t="shared" ca="1" si="23"/>
        <v>#VALUE!</v>
      </c>
      <c r="J141" t="e">
        <f t="shared" ca="1" si="24"/>
        <v>#VALUE!</v>
      </c>
      <c r="K141" t="e">
        <f t="shared" ca="1" si="25"/>
        <v>#VALUE!</v>
      </c>
      <c r="L141" t="e">
        <f t="shared" ca="1" si="40"/>
        <v>#VALUE!</v>
      </c>
      <c r="M141" t="e">
        <f t="shared" ca="1" si="26"/>
        <v>#VALUE!</v>
      </c>
      <c r="N141" s="22" t="e">
        <f t="shared" ca="1" si="27"/>
        <v>#VALUE!</v>
      </c>
      <c r="O141" t="e">
        <f t="shared" ca="1" si="28"/>
        <v>#VALUE!</v>
      </c>
      <c r="P141" s="31" t="e">
        <f t="shared" ca="1" si="29"/>
        <v>#VALUE!</v>
      </c>
      <c r="Q141" s="31" t="e">
        <f t="shared" ca="1" si="30"/>
        <v>#VALUE!</v>
      </c>
      <c r="R141" s="31" t="e">
        <f t="shared" ca="1" si="31"/>
        <v>#VALUE!</v>
      </c>
      <c r="S141" s="10" t="e">
        <f t="shared" ca="1" si="32"/>
        <v>#VALUE!</v>
      </c>
      <c r="T141" s="10" t="e">
        <f t="shared" ca="1" si="33"/>
        <v>#VALUE!</v>
      </c>
      <c r="U141" s="45" t="e">
        <f t="shared" ca="1" si="34"/>
        <v>#VALUE!</v>
      </c>
      <c r="V141" s="180" t="e">
        <f ca="1">Q141*1000000000/($B$22*'1a. Spredningsmodell input'!$C$26*1000)</f>
        <v>#VALUE!</v>
      </c>
      <c r="W141" s="44" t="e">
        <f t="shared" ca="1" si="35"/>
        <v>#VALUE!</v>
      </c>
      <c r="X141" s="167" t="e">
        <f t="shared" ca="1" si="36"/>
        <v>#VALUE!</v>
      </c>
      <c r="Y141" s="102" t="e">
        <f ca="1">(U141/1000000)*('1a. Spredningsmodell input'!$B$49)*'1a. Spredningsmodell input'!$C$35</f>
        <v>#VALUE!</v>
      </c>
      <c r="Z141" s="37" t="e">
        <f ca="1">(V141/1000000)*('1a. Spredningsmodell input'!$B$49)*'1a. Spredningsmodell input'!$C$35</f>
        <v>#VALUE!</v>
      </c>
      <c r="AA141" s="37" t="e">
        <f t="shared" ca="1" si="37"/>
        <v>#VALUE!</v>
      </c>
      <c r="AB141" s="1" t="e">
        <f t="shared" ca="1" si="38"/>
        <v>#VALUE!</v>
      </c>
      <c r="AC141" s="37" t="e">
        <f t="shared" ca="1" si="39"/>
        <v>#VALUE!</v>
      </c>
    </row>
    <row r="142" spans="7:38" x14ac:dyDescent="0.35">
      <c r="G142">
        <v>615</v>
      </c>
      <c r="H142">
        <f>'1a. Spredningsmodell input'!$I$2+G142</f>
        <v>615</v>
      </c>
      <c r="I142" t="e">
        <f t="shared" ca="1" si="23"/>
        <v>#VALUE!</v>
      </c>
      <c r="J142" t="e">
        <f t="shared" ca="1" si="24"/>
        <v>#VALUE!</v>
      </c>
      <c r="K142" t="e">
        <f t="shared" ca="1" si="25"/>
        <v>#VALUE!</v>
      </c>
      <c r="L142" t="e">
        <f t="shared" ca="1" si="40"/>
        <v>#VALUE!</v>
      </c>
      <c r="M142" t="e">
        <f t="shared" ca="1" si="26"/>
        <v>#VALUE!</v>
      </c>
      <c r="N142" s="22" t="e">
        <f t="shared" ca="1" si="27"/>
        <v>#VALUE!</v>
      </c>
      <c r="O142" t="e">
        <f t="shared" ca="1" si="28"/>
        <v>#VALUE!</v>
      </c>
      <c r="P142" s="18" t="e">
        <f t="shared" ca="1" si="29"/>
        <v>#VALUE!</v>
      </c>
      <c r="Q142" s="18" t="e">
        <f t="shared" ca="1" si="30"/>
        <v>#VALUE!</v>
      </c>
      <c r="R142" s="19" t="e">
        <f t="shared" ca="1" si="31"/>
        <v>#VALUE!</v>
      </c>
      <c r="S142" s="10" t="e">
        <f t="shared" ca="1" si="32"/>
        <v>#VALUE!</v>
      </c>
      <c r="T142" s="10" t="e">
        <f t="shared" ca="1" si="33"/>
        <v>#VALUE!</v>
      </c>
      <c r="U142" s="45" t="e">
        <f t="shared" ca="1" si="34"/>
        <v>#VALUE!</v>
      </c>
      <c r="V142" s="180" t="e">
        <f ca="1">Q142*1000000000/($B$22*'1a. Spredningsmodell input'!$C$26*1000)</f>
        <v>#VALUE!</v>
      </c>
      <c r="W142" s="44" t="e">
        <f t="shared" ca="1" si="35"/>
        <v>#VALUE!</v>
      </c>
      <c r="X142" s="167" t="e">
        <f t="shared" ca="1" si="36"/>
        <v>#VALUE!</v>
      </c>
      <c r="Y142" s="102" t="e">
        <f ca="1">(U142/1000000)*('1a. Spredningsmodell input'!$B$49)*'1a. Spredningsmodell input'!$C$35</f>
        <v>#VALUE!</v>
      </c>
      <c r="Z142" s="37" t="e">
        <f ca="1">(V142/1000000)*('1a. Spredningsmodell input'!$B$49)*'1a. Spredningsmodell input'!$C$35</f>
        <v>#VALUE!</v>
      </c>
      <c r="AA142" s="37" t="e">
        <f t="shared" ca="1" si="37"/>
        <v>#VALUE!</v>
      </c>
      <c r="AB142" s="1" t="e">
        <f t="shared" ca="1" si="38"/>
        <v>#VALUE!</v>
      </c>
      <c r="AC142" s="37" t="e">
        <f t="shared" ca="1" si="39"/>
        <v>#VALUE!</v>
      </c>
    </row>
    <row r="143" spans="7:38" x14ac:dyDescent="0.35">
      <c r="G143">
        <v>620</v>
      </c>
      <c r="H143">
        <f>'1a. Spredningsmodell input'!$I$2+G143</f>
        <v>620</v>
      </c>
      <c r="I143" t="e">
        <f t="shared" ca="1" si="23"/>
        <v>#VALUE!</v>
      </c>
      <c r="J143" t="e">
        <f t="shared" ca="1" si="24"/>
        <v>#VALUE!</v>
      </c>
      <c r="K143" t="e">
        <f t="shared" ca="1" si="25"/>
        <v>#VALUE!</v>
      </c>
      <c r="L143" t="e">
        <f t="shared" ca="1" si="40"/>
        <v>#VALUE!</v>
      </c>
      <c r="M143" t="e">
        <f t="shared" ca="1" si="26"/>
        <v>#VALUE!</v>
      </c>
      <c r="N143" s="22" t="e">
        <f t="shared" ca="1" si="27"/>
        <v>#VALUE!</v>
      </c>
      <c r="O143" t="e">
        <f t="shared" ca="1" si="28"/>
        <v>#VALUE!</v>
      </c>
      <c r="P143" s="31" t="e">
        <f t="shared" ca="1" si="29"/>
        <v>#VALUE!</v>
      </c>
      <c r="Q143" s="31" t="e">
        <f t="shared" ca="1" si="30"/>
        <v>#VALUE!</v>
      </c>
      <c r="R143" s="31" t="e">
        <f t="shared" ca="1" si="31"/>
        <v>#VALUE!</v>
      </c>
      <c r="S143" s="10" t="e">
        <f t="shared" ca="1" si="32"/>
        <v>#VALUE!</v>
      </c>
      <c r="T143" s="10" t="e">
        <f t="shared" ca="1" si="33"/>
        <v>#VALUE!</v>
      </c>
      <c r="U143" s="45" t="e">
        <f t="shared" ca="1" si="34"/>
        <v>#VALUE!</v>
      </c>
      <c r="V143" s="180" t="e">
        <f ca="1">Q143*1000000000/($B$22*'1a. Spredningsmodell input'!$C$26*1000)</f>
        <v>#VALUE!</v>
      </c>
      <c r="W143" s="44" t="e">
        <f t="shared" ca="1" si="35"/>
        <v>#VALUE!</v>
      </c>
      <c r="X143" s="167" t="e">
        <f t="shared" ca="1" si="36"/>
        <v>#VALUE!</v>
      </c>
      <c r="Y143" s="102" t="e">
        <f ca="1">(U143/1000000)*('1a. Spredningsmodell input'!$B$49)*'1a. Spredningsmodell input'!$C$35</f>
        <v>#VALUE!</v>
      </c>
      <c r="Z143" s="37" t="e">
        <f ca="1">(V143/1000000)*('1a. Spredningsmodell input'!$B$49)*'1a. Spredningsmodell input'!$C$35</f>
        <v>#VALUE!</v>
      </c>
      <c r="AA143" s="37" t="e">
        <f t="shared" ca="1" si="37"/>
        <v>#VALUE!</v>
      </c>
      <c r="AB143" s="1" t="e">
        <f t="shared" ca="1" si="38"/>
        <v>#VALUE!</v>
      </c>
      <c r="AC143" s="37" t="e">
        <f t="shared" ca="1" si="39"/>
        <v>#VALUE!</v>
      </c>
    </row>
    <row r="144" spans="7:38" x14ac:dyDescent="0.35">
      <c r="G144">
        <v>625</v>
      </c>
      <c r="H144">
        <f>'1a. Spredningsmodell input'!$I$2+G144</f>
        <v>625</v>
      </c>
      <c r="I144" t="e">
        <f t="shared" ca="1" si="23"/>
        <v>#VALUE!</v>
      </c>
      <c r="J144" t="e">
        <f t="shared" ca="1" si="24"/>
        <v>#VALUE!</v>
      </c>
      <c r="K144" t="e">
        <f t="shared" ca="1" si="25"/>
        <v>#VALUE!</v>
      </c>
      <c r="L144" t="e">
        <f t="shared" ca="1" si="40"/>
        <v>#VALUE!</v>
      </c>
      <c r="M144" t="e">
        <f t="shared" ca="1" si="26"/>
        <v>#VALUE!</v>
      </c>
      <c r="N144" s="22" t="e">
        <f t="shared" ca="1" si="27"/>
        <v>#VALUE!</v>
      </c>
      <c r="O144" t="e">
        <f t="shared" ca="1" si="28"/>
        <v>#VALUE!</v>
      </c>
      <c r="P144" s="31" t="e">
        <f t="shared" ca="1" si="29"/>
        <v>#VALUE!</v>
      </c>
      <c r="Q144" s="31" t="e">
        <f t="shared" ca="1" si="30"/>
        <v>#VALUE!</v>
      </c>
      <c r="R144" s="31" t="e">
        <f t="shared" ca="1" si="31"/>
        <v>#VALUE!</v>
      </c>
      <c r="S144" s="10" t="e">
        <f t="shared" ca="1" si="32"/>
        <v>#VALUE!</v>
      </c>
      <c r="T144" s="10" t="e">
        <f t="shared" ca="1" si="33"/>
        <v>#VALUE!</v>
      </c>
      <c r="U144" s="45" t="e">
        <f t="shared" ca="1" si="34"/>
        <v>#VALUE!</v>
      </c>
      <c r="V144" s="180" t="e">
        <f ca="1">Q144*1000000000/($B$22*'1a. Spredningsmodell input'!$C$26*1000)</f>
        <v>#VALUE!</v>
      </c>
      <c r="W144" s="44" t="e">
        <f t="shared" ca="1" si="35"/>
        <v>#VALUE!</v>
      </c>
      <c r="X144" s="167" t="e">
        <f t="shared" ca="1" si="36"/>
        <v>#VALUE!</v>
      </c>
      <c r="Y144" s="102" t="e">
        <f ca="1">(U144/1000000)*('1a. Spredningsmodell input'!$B$49)*'1a. Spredningsmodell input'!$C$35</f>
        <v>#VALUE!</v>
      </c>
      <c r="Z144" s="37" t="e">
        <f ca="1">(V144/1000000)*('1a. Spredningsmodell input'!$B$49)*'1a. Spredningsmodell input'!$C$35</f>
        <v>#VALUE!</v>
      </c>
      <c r="AA144" s="37" t="e">
        <f t="shared" ca="1" si="37"/>
        <v>#VALUE!</v>
      </c>
      <c r="AB144" s="1" t="e">
        <f t="shared" ca="1" si="38"/>
        <v>#VALUE!</v>
      </c>
      <c r="AC144" s="37" t="e">
        <f t="shared" ca="1" si="39"/>
        <v>#VALUE!</v>
      </c>
    </row>
    <row r="145" spans="7:29" x14ac:dyDescent="0.35">
      <c r="G145">
        <v>630</v>
      </c>
      <c r="H145">
        <f>'1a. Spredningsmodell input'!$I$2+G145</f>
        <v>630</v>
      </c>
      <c r="I145" t="e">
        <f t="shared" ca="1" si="23"/>
        <v>#VALUE!</v>
      </c>
      <c r="J145" t="e">
        <f t="shared" ca="1" si="24"/>
        <v>#VALUE!</v>
      </c>
      <c r="K145" t="e">
        <f t="shared" ca="1" si="25"/>
        <v>#VALUE!</v>
      </c>
      <c r="L145" t="e">
        <f t="shared" ca="1" si="40"/>
        <v>#VALUE!</v>
      </c>
      <c r="M145" t="e">
        <f t="shared" ca="1" si="26"/>
        <v>#VALUE!</v>
      </c>
      <c r="N145" s="22" t="e">
        <f t="shared" ca="1" si="27"/>
        <v>#VALUE!</v>
      </c>
      <c r="O145" t="e">
        <f t="shared" ca="1" si="28"/>
        <v>#VALUE!</v>
      </c>
      <c r="P145" s="31" t="e">
        <f t="shared" ca="1" si="29"/>
        <v>#VALUE!</v>
      </c>
      <c r="Q145" s="31" t="e">
        <f t="shared" ca="1" si="30"/>
        <v>#VALUE!</v>
      </c>
      <c r="R145" s="31" t="e">
        <f t="shared" ca="1" si="31"/>
        <v>#VALUE!</v>
      </c>
      <c r="S145" s="10" t="e">
        <f t="shared" ca="1" si="32"/>
        <v>#VALUE!</v>
      </c>
      <c r="T145" s="10" t="e">
        <f t="shared" ca="1" si="33"/>
        <v>#VALUE!</v>
      </c>
      <c r="U145" s="45" t="e">
        <f t="shared" ca="1" si="34"/>
        <v>#VALUE!</v>
      </c>
      <c r="V145" s="180" t="e">
        <f ca="1">Q145*1000000000/($B$22*'1a. Spredningsmodell input'!$C$26*1000)</f>
        <v>#VALUE!</v>
      </c>
      <c r="W145" s="44" t="e">
        <f t="shared" ca="1" si="35"/>
        <v>#VALUE!</v>
      </c>
      <c r="X145" s="167" t="e">
        <f t="shared" ca="1" si="36"/>
        <v>#VALUE!</v>
      </c>
      <c r="Y145" s="102" t="e">
        <f ca="1">(U145/1000000)*('1a. Spredningsmodell input'!$B$49)*'1a. Spredningsmodell input'!$C$35</f>
        <v>#VALUE!</v>
      </c>
      <c r="Z145" s="37" t="e">
        <f ca="1">(V145/1000000)*('1a. Spredningsmodell input'!$B$49)*'1a. Spredningsmodell input'!$C$35</f>
        <v>#VALUE!</v>
      </c>
      <c r="AA145" s="37" t="e">
        <f t="shared" ca="1" si="37"/>
        <v>#VALUE!</v>
      </c>
      <c r="AB145" s="1" t="e">
        <f t="shared" ca="1" si="38"/>
        <v>#VALUE!</v>
      </c>
      <c r="AC145" s="37" t="e">
        <f t="shared" ca="1" si="39"/>
        <v>#VALUE!</v>
      </c>
    </row>
    <row r="146" spans="7:29" x14ac:dyDescent="0.35">
      <c r="G146">
        <v>635</v>
      </c>
      <c r="H146">
        <f>'1a. Spredningsmodell input'!$I$2+G146</f>
        <v>635</v>
      </c>
      <c r="I146" t="e">
        <f t="shared" ca="1" si="23"/>
        <v>#VALUE!</v>
      </c>
      <c r="J146" t="e">
        <f t="shared" ca="1" si="24"/>
        <v>#VALUE!</v>
      </c>
      <c r="K146" t="e">
        <f t="shared" ca="1" si="25"/>
        <v>#VALUE!</v>
      </c>
      <c r="L146" t="e">
        <f t="shared" ca="1" si="40"/>
        <v>#VALUE!</v>
      </c>
      <c r="M146" t="e">
        <f t="shared" ca="1" si="26"/>
        <v>#VALUE!</v>
      </c>
      <c r="N146" s="22" t="e">
        <f t="shared" ca="1" si="27"/>
        <v>#VALUE!</v>
      </c>
      <c r="O146" t="e">
        <f t="shared" ca="1" si="28"/>
        <v>#VALUE!</v>
      </c>
      <c r="P146" s="18" t="e">
        <f t="shared" ca="1" si="29"/>
        <v>#VALUE!</v>
      </c>
      <c r="Q146" s="18" t="e">
        <f t="shared" ca="1" si="30"/>
        <v>#VALUE!</v>
      </c>
      <c r="R146" s="19" t="e">
        <f t="shared" ca="1" si="31"/>
        <v>#VALUE!</v>
      </c>
      <c r="S146" s="10" t="e">
        <f t="shared" ca="1" si="32"/>
        <v>#VALUE!</v>
      </c>
      <c r="T146" s="10" t="e">
        <f t="shared" ca="1" si="33"/>
        <v>#VALUE!</v>
      </c>
      <c r="U146" s="45" t="e">
        <f t="shared" ca="1" si="34"/>
        <v>#VALUE!</v>
      </c>
      <c r="V146" s="180" t="e">
        <f ca="1">Q146*1000000000/($B$22*'1a. Spredningsmodell input'!$C$26*1000)</f>
        <v>#VALUE!</v>
      </c>
      <c r="W146" s="44" t="e">
        <f t="shared" ca="1" si="35"/>
        <v>#VALUE!</v>
      </c>
      <c r="X146" s="167" t="e">
        <f t="shared" ca="1" si="36"/>
        <v>#VALUE!</v>
      </c>
      <c r="Y146" s="102" t="e">
        <f ca="1">(U146/1000000)*('1a. Spredningsmodell input'!$B$49)*'1a. Spredningsmodell input'!$C$35</f>
        <v>#VALUE!</v>
      </c>
      <c r="Z146" s="37" t="e">
        <f ca="1">(V146/1000000)*('1a. Spredningsmodell input'!$B$49)*'1a. Spredningsmodell input'!$C$35</f>
        <v>#VALUE!</v>
      </c>
      <c r="AA146" s="37" t="e">
        <f t="shared" ca="1" si="37"/>
        <v>#VALUE!</v>
      </c>
      <c r="AB146" s="1" t="e">
        <f t="shared" ca="1" si="38"/>
        <v>#VALUE!</v>
      </c>
      <c r="AC146" s="37" t="e">
        <f t="shared" ca="1" si="39"/>
        <v>#VALUE!</v>
      </c>
    </row>
    <row r="147" spans="7:29" x14ac:dyDescent="0.35">
      <c r="G147">
        <v>640</v>
      </c>
      <c r="H147">
        <f>'1a. Spredningsmodell input'!$I$2+G147</f>
        <v>640</v>
      </c>
      <c r="I147" t="e">
        <f t="shared" ref="I147:I210" ca="1" si="41">($B$18-$B$24*$B$18)*EXP(-($B$33+$B$34)*$G147)</f>
        <v>#VALUE!</v>
      </c>
      <c r="J147" t="e">
        <f t="shared" ref="J147:J210" ca="1" si="42">($B$24*$B$18)*EXP(-($B$32)*$G147)</f>
        <v>#VALUE!</v>
      </c>
      <c r="K147" t="e">
        <f t="shared" ref="K147:K210" ca="1" si="43">(($I147+$J147)*1000000000)/($B$21*1000)</f>
        <v>#VALUE!</v>
      </c>
      <c r="L147" t="e">
        <f t="shared" ca="1" si="40"/>
        <v>#VALUE!</v>
      </c>
      <c r="M147" t="e">
        <f t="shared" ref="M147:M210" ca="1" si="44">1000*L147/$B$26</f>
        <v>#VALUE!</v>
      </c>
      <c r="N147" s="22" t="e">
        <f t="shared" ref="N147:N210" ca="1" si="45">($B$18-$B$24*$B$18-I147)*($B$33/($B$33+$B$34))</f>
        <v>#VALUE!</v>
      </c>
      <c r="O147" t="e">
        <f t="shared" ref="O147:O210" ca="1" si="46">($B$24*$B$18)-J147</f>
        <v>#VALUE!</v>
      </c>
      <c r="P147" s="31" t="e">
        <f t="shared" ref="P147:P210" ca="1" si="47">($B$19+N147)*EXP(-($B$37+$B$38)*$G147)</f>
        <v>#VALUE!</v>
      </c>
      <c r="Q147" s="31" t="e">
        <f t="shared" ref="Q147:Q210" ca="1" si="48">($B$24*$B$19+O147)*EXP(-($B$36)*$G147)</f>
        <v>#VALUE!</v>
      </c>
      <c r="R147" s="31" t="e">
        <f t="shared" ref="R147:R210" ca="1" si="49">(($P147+$Q147)*1000000000)/($B$22*1000)</f>
        <v>#VALUE!</v>
      </c>
      <c r="S147" s="10" t="e">
        <f t="shared" ref="S147:S210" ca="1" si="50">0.001*R147/($B$30+1/$B$29)</f>
        <v>#VALUE!</v>
      </c>
      <c r="T147" s="10" t="e">
        <f t="shared" ref="T147:T210" ca="1" si="51">1000*S147/$B$29+Q147*1000000000/($B$22*1000)</f>
        <v>#VALUE!</v>
      </c>
      <c r="U147" s="45" t="e">
        <f t="shared" ref="U147:U210" ca="1" si="52">1000*S147/$B$29</f>
        <v>#VALUE!</v>
      </c>
      <c r="V147" s="180" t="e">
        <f ca="1">Q147*1000000000/($B$22*'1a. Spredningsmodell input'!$C$26*1000)</f>
        <v>#VALUE!</v>
      </c>
      <c r="W147" s="44" t="e">
        <f t="shared" ref="W147:W210" ca="1" si="53">($B$20+$B$39*($B$19+$B$35*($B$18*(1-$B$24))*(1-EXP(-($B$33+$B$34)*G147)))*(1-EXP(-($B$37+$B$38)*G147)))</f>
        <v>#VALUE!</v>
      </c>
      <c r="X147" s="167" t="e">
        <f t="shared" ref="X147:X210" ca="1" si="54">((($B$18*($B$24))*(1-EXP(-($B$32)*G147)))*(1-EXP(-($B$36)*G147)))</f>
        <v>#VALUE!</v>
      </c>
      <c r="Y147" s="102" t="e">
        <f ca="1">(U147/1000000)*('1a. Spredningsmodell input'!$B$49)*'1a. Spredningsmodell input'!$C$35</f>
        <v>#VALUE!</v>
      </c>
      <c r="Z147" s="37" t="e">
        <f ca="1">(V147/1000000)*('1a. Spredningsmodell input'!$B$49)*'1a. Spredningsmodell input'!$C$35</f>
        <v>#VALUE!</v>
      </c>
      <c r="AA147" s="37" t="e">
        <f t="shared" ref="AA147:AA210" ca="1" si="55">($B$20)*EXP(-($B$42+$B$41)*$G147)+Y147*EXP(-($B$42)*$B$50)</f>
        <v>#VALUE!</v>
      </c>
      <c r="AB147" s="1" t="e">
        <f t="shared" ref="AB147:AB210" ca="1" si="56">Z147+($B$24*$B$20)*EXP(-($B$40)*$G147)</f>
        <v>#VALUE!</v>
      </c>
      <c r="AC147" s="37" t="e">
        <f t="shared" ref="AC147:AC210" ca="1" si="57">(AA147+AB147)*1000000000/($B$23*1000)</f>
        <v>#VALUE!</v>
      </c>
    </row>
    <row r="148" spans="7:29" x14ac:dyDescent="0.35">
      <c r="G148">
        <v>645</v>
      </c>
      <c r="H148">
        <f>'1a. Spredningsmodell input'!$I$2+G148</f>
        <v>645</v>
      </c>
      <c r="I148" t="e">
        <f t="shared" ca="1" si="41"/>
        <v>#VALUE!</v>
      </c>
      <c r="J148" t="e">
        <f t="shared" ca="1" si="42"/>
        <v>#VALUE!</v>
      </c>
      <c r="K148" t="e">
        <f t="shared" ca="1" si="43"/>
        <v>#VALUE!</v>
      </c>
      <c r="L148" t="e">
        <f t="shared" ref="L148:L211" ca="1" si="58">0.001*K148/($B$27+$B$28/$B$26)</f>
        <v>#VALUE!</v>
      </c>
      <c r="M148" t="e">
        <f t="shared" ca="1" si="44"/>
        <v>#VALUE!</v>
      </c>
      <c r="N148" s="22" t="e">
        <f t="shared" ca="1" si="45"/>
        <v>#VALUE!</v>
      </c>
      <c r="O148" t="e">
        <f t="shared" ca="1" si="46"/>
        <v>#VALUE!</v>
      </c>
      <c r="P148" s="31" t="e">
        <f t="shared" ca="1" si="47"/>
        <v>#VALUE!</v>
      </c>
      <c r="Q148" s="31" t="e">
        <f t="shared" ca="1" si="48"/>
        <v>#VALUE!</v>
      </c>
      <c r="R148" s="31" t="e">
        <f t="shared" ca="1" si="49"/>
        <v>#VALUE!</v>
      </c>
      <c r="S148" s="10" t="e">
        <f t="shared" ca="1" si="50"/>
        <v>#VALUE!</v>
      </c>
      <c r="T148" s="10" t="e">
        <f t="shared" ca="1" si="51"/>
        <v>#VALUE!</v>
      </c>
      <c r="U148" s="45" t="e">
        <f t="shared" ca="1" si="52"/>
        <v>#VALUE!</v>
      </c>
      <c r="V148" s="180" t="e">
        <f ca="1">Q148*1000000000/($B$22*'1a. Spredningsmodell input'!$C$26*1000)</f>
        <v>#VALUE!</v>
      </c>
      <c r="W148" s="44" t="e">
        <f t="shared" ca="1" si="53"/>
        <v>#VALUE!</v>
      </c>
      <c r="X148" s="167" t="e">
        <f t="shared" ca="1" si="54"/>
        <v>#VALUE!</v>
      </c>
      <c r="Y148" s="102" t="e">
        <f ca="1">(U148/1000000)*('1a. Spredningsmodell input'!$B$49)*'1a. Spredningsmodell input'!$C$35</f>
        <v>#VALUE!</v>
      </c>
      <c r="Z148" s="37" t="e">
        <f ca="1">(V148/1000000)*('1a. Spredningsmodell input'!$B$49)*'1a. Spredningsmodell input'!$C$35</f>
        <v>#VALUE!</v>
      </c>
      <c r="AA148" s="37" t="e">
        <f t="shared" ca="1" si="55"/>
        <v>#VALUE!</v>
      </c>
      <c r="AB148" s="1" t="e">
        <f t="shared" ca="1" si="56"/>
        <v>#VALUE!</v>
      </c>
      <c r="AC148" s="37" t="e">
        <f t="shared" ca="1" si="57"/>
        <v>#VALUE!</v>
      </c>
    </row>
    <row r="149" spans="7:29" x14ac:dyDescent="0.35">
      <c r="G149">
        <v>650</v>
      </c>
      <c r="H149">
        <f>'1a. Spredningsmodell input'!$I$2+G149</f>
        <v>650</v>
      </c>
      <c r="I149" t="e">
        <f t="shared" ca="1" si="41"/>
        <v>#VALUE!</v>
      </c>
      <c r="J149" t="e">
        <f t="shared" ca="1" si="42"/>
        <v>#VALUE!</v>
      </c>
      <c r="K149" t="e">
        <f t="shared" ca="1" si="43"/>
        <v>#VALUE!</v>
      </c>
      <c r="L149" t="e">
        <f t="shared" ca="1" si="58"/>
        <v>#VALUE!</v>
      </c>
      <c r="M149" t="e">
        <f t="shared" ca="1" si="44"/>
        <v>#VALUE!</v>
      </c>
      <c r="N149" s="22" t="e">
        <f t="shared" ca="1" si="45"/>
        <v>#VALUE!</v>
      </c>
      <c r="O149" t="e">
        <f t="shared" ca="1" si="46"/>
        <v>#VALUE!</v>
      </c>
      <c r="P149" s="31" t="e">
        <f t="shared" ca="1" si="47"/>
        <v>#VALUE!</v>
      </c>
      <c r="Q149" s="31" t="e">
        <f t="shared" ca="1" si="48"/>
        <v>#VALUE!</v>
      </c>
      <c r="R149" s="31" t="e">
        <f t="shared" ca="1" si="49"/>
        <v>#VALUE!</v>
      </c>
      <c r="S149" s="10" t="e">
        <f t="shared" ca="1" si="50"/>
        <v>#VALUE!</v>
      </c>
      <c r="T149" s="10" t="e">
        <f t="shared" ca="1" si="51"/>
        <v>#VALUE!</v>
      </c>
      <c r="U149" s="45" t="e">
        <f t="shared" ca="1" si="52"/>
        <v>#VALUE!</v>
      </c>
      <c r="V149" s="180" t="e">
        <f ca="1">Q149*1000000000/($B$22*'1a. Spredningsmodell input'!$C$26*1000)</f>
        <v>#VALUE!</v>
      </c>
      <c r="W149" s="44" t="e">
        <f t="shared" ca="1" si="53"/>
        <v>#VALUE!</v>
      </c>
      <c r="X149" s="167" t="e">
        <f t="shared" ca="1" si="54"/>
        <v>#VALUE!</v>
      </c>
      <c r="Y149" s="102" t="e">
        <f ca="1">(U149/1000000)*('1a. Spredningsmodell input'!$B$49)*'1a. Spredningsmodell input'!$C$35</f>
        <v>#VALUE!</v>
      </c>
      <c r="Z149" s="37" t="e">
        <f ca="1">(V149/1000000)*('1a. Spredningsmodell input'!$B$49)*'1a. Spredningsmodell input'!$C$35</f>
        <v>#VALUE!</v>
      </c>
      <c r="AA149" s="37" t="e">
        <f t="shared" ca="1" si="55"/>
        <v>#VALUE!</v>
      </c>
      <c r="AB149" s="1" t="e">
        <f t="shared" ca="1" si="56"/>
        <v>#VALUE!</v>
      </c>
      <c r="AC149" s="37" t="e">
        <f t="shared" ca="1" si="57"/>
        <v>#VALUE!</v>
      </c>
    </row>
    <row r="150" spans="7:29" x14ac:dyDescent="0.35">
      <c r="G150">
        <v>655</v>
      </c>
      <c r="H150">
        <f>'1a. Spredningsmodell input'!$I$2+G150</f>
        <v>655</v>
      </c>
      <c r="I150" t="e">
        <f t="shared" ca="1" si="41"/>
        <v>#VALUE!</v>
      </c>
      <c r="J150" t="e">
        <f t="shared" ca="1" si="42"/>
        <v>#VALUE!</v>
      </c>
      <c r="K150" t="e">
        <f t="shared" ca="1" si="43"/>
        <v>#VALUE!</v>
      </c>
      <c r="L150" t="e">
        <f t="shared" ca="1" si="58"/>
        <v>#VALUE!</v>
      </c>
      <c r="M150" t="e">
        <f t="shared" ca="1" si="44"/>
        <v>#VALUE!</v>
      </c>
      <c r="N150" s="22" t="e">
        <f t="shared" ca="1" si="45"/>
        <v>#VALUE!</v>
      </c>
      <c r="O150" t="e">
        <f t="shared" ca="1" si="46"/>
        <v>#VALUE!</v>
      </c>
      <c r="P150" s="18" t="e">
        <f t="shared" ca="1" si="47"/>
        <v>#VALUE!</v>
      </c>
      <c r="Q150" s="18" t="e">
        <f t="shared" ca="1" si="48"/>
        <v>#VALUE!</v>
      </c>
      <c r="R150" s="19" t="e">
        <f t="shared" ca="1" si="49"/>
        <v>#VALUE!</v>
      </c>
      <c r="S150" s="10" t="e">
        <f t="shared" ca="1" si="50"/>
        <v>#VALUE!</v>
      </c>
      <c r="T150" s="10" t="e">
        <f t="shared" ca="1" si="51"/>
        <v>#VALUE!</v>
      </c>
      <c r="U150" s="45" t="e">
        <f t="shared" ca="1" si="52"/>
        <v>#VALUE!</v>
      </c>
      <c r="V150" s="180" t="e">
        <f ca="1">Q150*1000000000/($B$22*'1a. Spredningsmodell input'!$C$26*1000)</f>
        <v>#VALUE!</v>
      </c>
      <c r="W150" s="44" t="e">
        <f t="shared" ca="1" si="53"/>
        <v>#VALUE!</v>
      </c>
      <c r="X150" s="167" t="e">
        <f t="shared" ca="1" si="54"/>
        <v>#VALUE!</v>
      </c>
      <c r="Y150" s="102" t="e">
        <f ca="1">(U150/1000000)*('1a. Spredningsmodell input'!$B$49)*'1a. Spredningsmodell input'!$C$35</f>
        <v>#VALUE!</v>
      </c>
      <c r="Z150" s="37" t="e">
        <f ca="1">(V150/1000000)*('1a. Spredningsmodell input'!$B$49)*'1a. Spredningsmodell input'!$C$35</f>
        <v>#VALUE!</v>
      </c>
      <c r="AA150" s="37" t="e">
        <f t="shared" ca="1" si="55"/>
        <v>#VALUE!</v>
      </c>
      <c r="AB150" s="1" t="e">
        <f t="shared" ca="1" si="56"/>
        <v>#VALUE!</v>
      </c>
      <c r="AC150" s="37" t="e">
        <f t="shared" ca="1" si="57"/>
        <v>#VALUE!</v>
      </c>
    </row>
    <row r="151" spans="7:29" x14ac:dyDescent="0.35">
      <c r="G151">
        <v>660</v>
      </c>
      <c r="H151">
        <f>'1a. Spredningsmodell input'!$I$2+G151</f>
        <v>660</v>
      </c>
      <c r="I151" t="e">
        <f t="shared" ca="1" si="41"/>
        <v>#VALUE!</v>
      </c>
      <c r="J151" t="e">
        <f t="shared" ca="1" si="42"/>
        <v>#VALUE!</v>
      </c>
      <c r="K151" t="e">
        <f t="shared" ca="1" si="43"/>
        <v>#VALUE!</v>
      </c>
      <c r="L151" t="e">
        <f t="shared" ca="1" si="58"/>
        <v>#VALUE!</v>
      </c>
      <c r="M151" t="e">
        <f t="shared" ca="1" si="44"/>
        <v>#VALUE!</v>
      </c>
      <c r="N151" s="22" t="e">
        <f t="shared" ca="1" si="45"/>
        <v>#VALUE!</v>
      </c>
      <c r="O151" t="e">
        <f t="shared" ca="1" si="46"/>
        <v>#VALUE!</v>
      </c>
      <c r="P151" s="31" t="e">
        <f t="shared" ca="1" si="47"/>
        <v>#VALUE!</v>
      </c>
      <c r="Q151" s="31" t="e">
        <f t="shared" ca="1" si="48"/>
        <v>#VALUE!</v>
      </c>
      <c r="R151" s="31" t="e">
        <f t="shared" ca="1" si="49"/>
        <v>#VALUE!</v>
      </c>
      <c r="S151" s="10" t="e">
        <f t="shared" ca="1" si="50"/>
        <v>#VALUE!</v>
      </c>
      <c r="T151" s="10" t="e">
        <f t="shared" ca="1" si="51"/>
        <v>#VALUE!</v>
      </c>
      <c r="U151" s="45" t="e">
        <f t="shared" ca="1" si="52"/>
        <v>#VALUE!</v>
      </c>
      <c r="V151" s="180" t="e">
        <f ca="1">Q151*1000000000/($B$22*'1a. Spredningsmodell input'!$C$26*1000)</f>
        <v>#VALUE!</v>
      </c>
      <c r="W151" s="44" t="e">
        <f t="shared" ca="1" si="53"/>
        <v>#VALUE!</v>
      </c>
      <c r="X151" s="167" t="e">
        <f t="shared" ca="1" si="54"/>
        <v>#VALUE!</v>
      </c>
      <c r="Y151" s="102" t="e">
        <f ca="1">(U151/1000000)*('1a. Spredningsmodell input'!$B$49)*'1a. Spredningsmodell input'!$C$35</f>
        <v>#VALUE!</v>
      </c>
      <c r="Z151" s="37" t="e">
        <f ca="1">(V151/1000000)*('1a. Spredningsmodell input'!$B$49)*'1a. Spredningsmodell input'!$C$35</f>
        <v>#VALUE!</v>
      </c>
      <c r="AA151" s="37" t="e">
        <f t="shared" ca="1" si="55"/>
        <v>#VALUE!</v>
      </c>
      <c r="AB151" s="1" t="e">
        <f t="shared" ca="1" si="56"/>
        <v>#VALUE!</v>
      </c>
      <c r="AC151" s="37" t="e">
        <f t="shared" ca="1" si="57"/>
        <v>#VALUE!</v>
      </c>
    </row>
    <row r="152" spans="7:29" x14ac:dyDescent="0.35">
      <c r="G152">
        <v>665</v>
      </c>
      <c r="H152">
        <f>'1a. Spredningsmodell input'!$I$2+G152</f>
        <v>665</v>
      </c>
      <c r="I152" t="e">
        <f t="shared" ca="1" si="41"/>
        <v>#VALUE!</v>
      </c>
      <c r="J152" t="e">
        <f t="shared" ca="1" si="42"/>
        <v>#VALUE!</v>
      </c>
      <c r="K152" t="e">
        <f t="shared" ca="1" si="43"/>
        <v>#VALUE!</v>
      </c>
      <c r="L152" t="e">
        <f t="shared" ca="1" si="58"/>
        <v>#VALUE!</v>
      </c>
      <c r="M152" t="e">
        <f t="shared" ca="1" si="44"/>
        <v>#VALUE!</v>
      </c>
      <c r="N152" s="22" t="e">
        <f t="shared" ca="1" si="45"/>
        <v>#VALUE!</v>
      </c>
      <c r="O152" t="e">
        <f t="shared" ca="1" si="46"/>
        <v>#VALUE!</v>
      </c>
      <c r="P152" s="31" t="e">
        <f t="shared" ca="1" si="47"/>
        <v>#VALUE!</v>
      </c>
      <c r="Q152" s="31" t="e">
        <f t="shared" ca="1" si="48"/>
        <v>#VALUE!</v>
      </c>
      <c r="R152" s="31" t="e">
        <f t="shared" ca="1" si="49"/>
        <v>#VALUE!</v>
      </c>
      <c r="S152" s="10" t="e">
        <f t="shared" ca="1" si="50"/>
        <v>#VALUE!</v>
      </c>
      <c r="T152" s="10" t="e">
        <f t="shared" ca="1" si="51"/>
        <v>#VALUE!</v>
      </c>
      <c r="U152" s="45" t="e">
        <f t="shared" ca="1" si="52"/>
        <v>#VALUE!</v>
      </c>
      <c r="V152" s="180" t="e">
        <f ca="1">Q152*1000000000/($B$22*'1a. Spredningsmodell input'!$C$26*1000)</f>
        <v>#VALUE!</v>
      </c>
      <c r="W152" s="44" t="e">
        <f t="shared" ca="1" si="53"/>
        <v>#VALUE!</v>
      </c>
      <c r="X152" s="167" t="e">
        <f t="shared" ca="1" si="54"/>
        <v>#VALUE!</v>
      </c>
      <c r="Y152" s="102" t="e">
        <f ca="1">(U152/1000000)*('1a. Spredningsmodell input'!$B$49)*'1a. Spredningsmodell input'!$C$35</f>
        <v>#VALUE!</v>
      </c>
      <c r="Z152" s="37" t="e">
        <f ca="1">(V152/1000000)*('1a. Spredningsmodell input'!$B$49)*'1a. Spredningsmodell input'!$C$35</f>
        <v>#VALUE!</v>
      </c>
      <c r="AA152" s="37" t="e">
        <f t="shared" ca="1" si="55"/>
        <v>#VALUE!</v>
      </c>
      <c r="AB152" s="1" t="e">
        <f t="shared" ca="1" si="56"/>
        <v>#VALUE!</v>
      </c>
      <c r="AC152" s="37" t="e">
        <f t="shared" ca="1" si="57"/>
        <v>#VALUE!</v>
      </c>
    </row>
    <row r="153" spans="7:29" x14ac:dyDescent="0.35">
      <c r="G153">
        <v>670</v>
      </c>
      <c r="H153">
        <f>'1a. Spredningsmodell input'!$I$2+G153</f>
        <v>670</v>
      </c>
      <c r="I153" t="e">
        <f t="shared" ca="1" si="41"/>
        <v>#VALUE!</v>
      </c>
      <c r="J153" t="e">
        <f t="shared" ca="1" si="42"/>
        <v>#VALUE!</v>
      </c>
      <c r="K153" t="e">
        <f t="shared" ca="1" si="43"/>
        <v>#VALUE!</v>
      </c>
      <c r="L153" t="e">
        <f t="shared" ca="1" si="58"/>
        <v>#VALUE!</v>
      </c>
      <c r="M153" t="e">
        <f t="shared" ca="1" si="44"/>
        <v>#VALUE!</v>
      </c>
      <c r="N153" s="22" t="e">
        <f t="shared" ca="1" si="45"/>
        <v>#VALUE!</v>
      </c>
      <c r="O153" t="e">
        <f t="shared" ca="1" si="46"/>
        <v>#VALUE!</v>
      </c>
      <c r="P153" s="31" t="e">
        <f t="shared" ca="1" si="47"/>
        <v>#VALUE!</v>
      </c>
      <c r="Q153" s="31" t="e">
        <f t="shared" ca="1" si="48"/>
        <v>#VALUE!</v>
      </c>
      <c r="R153" s="31" t="e">
        <f t="shared" ca="1" si="49"/>
        <v>#VALUE!</v>
      </c>
      <c r="S153" s="10" t="e">
        <f t="shared" ca="1" si="50"/>
        <v>#VALUE!</v>
      </c>
      <c r="T153" s="10" t="e">
        <f t="shared" ca="1" si="51"/>
        <v>#VALUE!</v>
      </c>
      <c r="U153" s="45" t="e">
        <f t="shared" ca="1" si="52"/>
        <v>#VALUE!</v>
      </c>
      <c r="V153" s="180" t="e">
        <f ca="1">Q153*1000000000/($B$22*'1a. Spredningsmodell input'!$C$26*1000)</f>
        <v>#VALUE!</v>
      </c>
      <c r="W153" s="44" t="e">
        <f t="shared" ca="1" si="53"/>
        <v>#VALUE!</v>
      </c>
      <c r="X153" s="167" t="e">
        <f t="shared" ca="1" si="54"/>
        <v>#VALUE!</v>
      </c>
      <c r="Y153" s="102" t="e">
        <f ca="1">(U153/1000000)*('1a. Spredningsmodell input'!$B$49)*'1a. Spredningsmodell input'!$C$35</f>
        <v>#VALUE!</v>
      </c>
      <c r="Z153" s="37" t="e">
        <f ca="1">(V153/1000000)*('1a. Spredningsmodell input'!$B$49)*'1a. Spredningsmodell input'!$C$35</f>
        <v>#VALUE!</v>
      </c>
      <c r="AA153" s="37" t="e">
        <f t="shared" ca="1" si="55"/>
        <v>#VALUE!</v>
      </c>
      <c r="AB153" s="1" t="e">
        <f t="shared" ca="1" si="56"/>
        <v>#VALUE!</v>
      </c>
      <c r="AC153" s="37" t="e">
        <f t="shared" ca="1" si="57"/>
        <v>#VALUE!</v>
      </c>
    </row>
    <row r="154" spans="7:29" x14ac:dyDescent="0.35">
      <c r="G154">
        <v>675</v>
      </c>
      <c r="H154">
        <f>'1a. Spredningsmodell input'!$I$2+G154</f>
        <v>675</v>
      </c>
      <c r="I154" t="e">
        <f t="shared" ca="1" si="41"/>
        <v>#VALUE!</v>
      </c>
      <c r="J154" t="e">
        <f t="shared" ca="1" si="42"/>
        <v>#VALUE!</v>
      </c>
      <c r="K154" t="e">
        <f t="shared" ca="1" si="43"/>
        <v>#VALUE!</v>
      </c>
      <c r="L154" t="e">
        <f t="shared" ca="1" si="58"/>
        <v>#VALUE!</v>
      </c>
      <c r="M154" t="e">
        <f t="shared" ca="1" si="44"/>
        <v>#VALUE!</v>
      </c>
      <c r="N154" s="22" t="e">
        <f t="shared" ca="1" si="45"/>
        <v>#VALUE!</v>
      </c>
      <c r="O154" t="e">
        <f t="shared" ca="1" si="46"/>
        <v>#VALUE!</v>
      </c>
      <c r="P154" s="18" t="e">
        <f t="shared" ca="1" si="47"/>
        <v>#VALUE!</v>
      </c>
      <c r="Q154" s="18" t="e">
        <f t="shared" ca="1" si="48"/>
        <v>#VALUE!</v>
      </c>
      <c r="R154" s="19" t="e">
        <f t="shared" ca="1" si="49"/>
        <v>#VALUE!</v>
      </c>
      <c r="S154" s="10" t="e">
        <f t="shared" ca="1" si="50"/>
        <v>#VALUE!</v>
      </c>
      <c r="T154" s="10" t="e">
        <f t="shared" ca="1" si="51"/>
        <v>#VALUE!</v>
      </c>
      <c r="U154" s="45" t="e">
        <f t="shared" ca="1" si="52"/>
        <v>#VALUE!</v>
      </c>
      <c r="V154" s="180" t="e">
        <f ca="1">Q154*1000000000/($B$22*'1a. Spredningsmodell input'!$C$26*1000)</f>
        <v>#VALUE!</v>
      </c>
      <c r="W154" s="44" t="e">
        <f t="shared" ca="1" si="53"/>
        <v>#VALUE!</v>
      </c>
      <c r="X154" s="167" t="e">
        <f t="shared" ca="1" si="54"/>
        <v>#VALUE!</v>
      </c>
      <c r="Y154" s="102" t="e">
        <f ca="1">(U154/1000000)*('1a. Spredningsmodell input'!$B$49)*'1a. Spredningsmodell input'!$C$35</f>
        <v>#VALUE!</v>
      </c>
      <c r="Z154" s="37" t="e">
        <f ca="1">(V154/1000000)*('1a. Spredningsmodell input'!$B$49)*'1a. Spredningsmodell input'!$C$35</f>
        <v>#VALUE!</v>
      </c>
      <c r="AA154" s="37" t="e">
        <f t="shared" ca="1" si="55"/>
        <v>#VALUE!</v>
      </c>
      <c r="AB154" s="1" t="e">
        <f t="shared" ca="1" si="56"/>
        <v>#VALUE!</v>
      </c>
      <c r="AC154" s="37" t="e">
        <f t="shared" ca="1" si="57"/>
        <v>#VALUE!</v>
      </c>
    </row>
    <row r="155" spans="7:29" x14ac:dyDescent="0.35">
      <c r="G155">
        <v>680</v>
      </c>
      <c r="H155">
        <f>'1a. Spredningsmodell input'!$I$2+G155</f>
        <v>680</v>
      </c>
      <c r="I155" t="e">
        <f t="shared" ca="1" si="41"/>
        <v>#VALUE!</v>
      </c>
      <c r="J155" t="e">
        <f t="shared" ca="1" si="42"/>
        <v>#VALUE!</v>
      </c>
      <c r="K155" t="e">
        <f t="shared" ca="1" si="43"/>
        <v>#VALUE!</v>
      </c>
      <c r="L155" t="e">
        <f t="shared" ca="1" si="58"/>
        <v>#VALUE!</v>
      </c>
      <c r="M155" t="e">
        <f t="shared" ca="1" si="44"/>
        <v>#VALUE!</v>
      </c>
      <c r="N155" s="22" t="e">
        <f t="shared" ca="1" si="45"/>
        <v>#VALUE!</v>
      </c>
      <c r="O155" t="e">
        <f t="shared" ca="1" si="46"/>
        <v>#VALUE!</v>
      </c>
      <c r="P155" s="31" t="e">
        <f t="shared" ca="1" si="47"/>
        <v>#VALUE!</v>
      </c>
      <c r="Q155" s="31" t="e">
        <f t="shared" ca="1" si="48"/>
        <v>#VALUE!</v>
      </c>
      <c r="R155" s="31" t="e">
        <f t="shared" ca="1" si="49"/>
        <v>#VALUE!</v>
      </c>
      <c r="S155" s="10" t="e">
        <f t="shared" ca="1" si="50"/>
        <v>#VALUE!</v>
      </c>
      <c r="T155" s="10" t="e">
        <f t="shared" ca="1" si="51"/>
        <v>#VALUE!</v>
      </c>
      <c r="U155" s="45" t="e">
        <f t="shared" ca="1" si="52"/>
        <v>#VALUE!</v>
      </c>
      <c r="V155" s="180" t="e">
        <f ca="1">Q155*1000000000/($B$22*'1a. Spredningsmodell input'!$C$26*1000)</f>
        <v>#VALUE!</v>
      </c>
      <c r="W155" s="44" t="e">
        <f t="shared" ca="1" si="53"/>
        <v>#VALUE!</v>
      </c>
      <c r="X155" s="167" t="e">
        <f t="shared" ca="1" si="54"/>
        <v>#VALUE!</v>
      </c>
      <c r="Y155" s="102" t="e">
        <f ca="1">(U155/1000000)*('1a. Spredningsmodell input'!$B$49)*'1a. Spredningsmodell input'!$C$35</f>
        <v>#VALUE!</v>
      </c>
      <c r="Z155" s="37" t="e">
        <f ca="1">(V155/1000000)*('1a. Spredningsmodell input'!$B$49)*'1a. Spredningsmodell input'!$C$35</f>
        <v>#VALUE!</v>
      </c>
      <c r="AA155" s="37" t="e">
        <f t="shared" ca="1" si="55"/>
        <v>#VALUE!</v>
      </c>
      <c r="AB155" s="1" t="e">
        <f t="shared" ca="1" si="56"/>
        <v>#VALUE!</v>
      </c>
      <c r="AC155" s="37" t="e">
        <f t="shared" ca="1" si="57"/>
        <v>#VALUE!</v>
      </c>
    </row>
    <row r="156" spans="7:29" x14ac:dyDescent="0.35">
      <c r="G156">
        <v>685</v>
      </c>
      <c r="H156">
        <f>'1a. Spredningsmodell input'!$I$2+G156</f>
        <v>685</v>
      </c>
      <c r="I156" t="e">
        <f t="shared" ca="1" si="41"/>
        <v>#VALUE!</v>
      </c>
      <c r="J156" t="e">
        <f t="shared" ca="1" si="42"/>
        <v>#VALUE!</v>
      </c>
      <c r="K156" t="e">
        <f t="shared" ca="1" si="43"/>
        <v>#VALUE!</v>
      </c>
      <c r="L156" t="e">
        <f t="shared" ca="1" si="58"/>
        <v>#VALUE!</v>
      </c>
      <c r="M156" t="e">
        <f t="shared" ca="1" si="44"/>
        <v>#VALUE!</v>
      </c>
      <c r="N156" s="22" t="e">
        <f t="shared" ca="1" si="45"/>
        <v>#VALUE!</v>
      </c>
      <c r="O156" t="e">
        <f t="shared" ca="1" si="46"/>
        <v>#VALUE!</v>
      </c>
      <c r="P156" s="31" t="e">
        <f t="shared" ca="1" si="47"/>
        <v>#VALUE!</v>
      </c>
      <c r="Q156" s="31" t="e">
        <f t="shared" ca="1" si="48"/>
        <v>#VALUE!</v>
      </c>
      <c r="R156" s="31" t="e">
        <f t="shared" ca="1" si="49"/>
        <v>#VALUE!</v>
      </c>
      <c r="S156" s="10" t="e">
        <f t="shared" ca="1" si="50"/>
        <v>#VALUE!</v>
      </c>
      <c r="T156" s="10" t="e">
        <f t="shared" ca="1" si="51"/>
        <v>#VALUE!</v>
      </c>
      <c r="U156" s="45" t="e">
        <f t="shared" ca="1" si="52"/>
        <v>#VALUE!</v>
      </c>
      <c r="V156" s="180" t="e">
        <f ca="1">Q156*1000000000/($B$22*'1a. Spredningsmodell input'!$C$26*1000)</f>
        <v>#VALUE!</v>
      </c>
      <c r="W156" s="44" t="e">
        <f t="shared" ca="1" si="53"/>
        <v>#VALUE!</v>
      </c>
      <c r="X156" s="167" t="e">
        <f t="shared" ca="1" si="54"/>
        <v>#VALUE!</v>
      </c>
      <c r="Y156" s="102" t="e">
        <f ca="1">(U156/1000000)*('1a. Spredningsmodell input'!$B$49)*'1a. Spredningsmodell input'!$C$35</f>
        <v>#VALUE!</v>
      </c>
      <c r="Z156" s="37" t="e">
        <f ca="1">(V156/1000000)*('1a. Spredningsmodell input'!$B$49)*'1a. Spredningsmodell input'!$C$35</f>
        <v>#VALUE!</v>
      </c>
      <c r="AA156" s="37" t="e">
        <f t="shared" ca="1" si="55"/>
        <v>#VALUE!</v>
      </c>
      <c r="AB156" s="1" t="e">
        <f t="shared" ca="1" si="56"/>
        <v>#VALUE!</v>
      </c>
      <c r="AC156" s="37" t="e">
        <f t="shared" ca="1" si="57"/>
        <v>#VALUE!</v>
      </c>
    </row>
    <row r="157" spans="7:29" x14ac:dyDescent="0.35">
      <c r="G157">
        <v>690</v>
      </c>
      <c r="H157">
        <f>'1a. Spredningsmodell input'!$I$2+G157</f>
        <v>690</v>
      </c>
      <c r="I157" t="e">
        <f t="shared" ca="1" si="41"/>
        <v>#VALUE!</v>
      </c>
      <c r="J157" t="e">
        <f t="shared" ca="1" si="42"/>
        <v>#VALUE!</v>
      </c>
      <c r="K157" t="e">
        <f t="shared" ca="1" si="43"/>
        <v>#VALUE!</v>
      </c>
      <c r="L157" t="e">
        <f t="shared" ca="1" si="58"/>
        <v>#VALUE!</v>
      </c>
      <c r="M157" t="e">
        <f t="shared" ca="1" si="44"/>
        <v>#VALUE!</v>
      </c>
      <c r="N157" s="22" t="e">
        <f t="shared" ca="1" si="45"/>
        <v>#VALUE!</v>
      </c>
      <c r="O157" t="e">
        <f t="shared" ca="1" si="46"/>
        <v>#VALUE!</v>
      </c>
      <c r="P157" s="31" t="e">
        <f t="shared" ca="1" si="47"/>
        <v>#VALUE!</v>
      </c>
      <c r="Q157" s="31" t="e">
        <f t="shared" ca="1" si="48"/>
        <v>#VALUE!</v>
      </c>
      <c r="R157" s="31" t="e">
        <f t="shared" ca="1" si="49"/>
        <v>#VALUE!</v>
      </c>
      <c r="S157" s="10" t="e">
        <f t="shared" ca="1" si="50"/>
        <v>#VALUE!</v>
      </c>
      <c r="T157" s="10" t="e">
        <f t="shared" ca="1" si="51"/>
        <v>#VALUE!</v>
      </c>
      <c r="U157" s="45" t="e">
        <f t="shared" ca="1" si="52"/>
        <v>#VALUE!</v>
      </c>
      <c r="V157" s="180" t="e">
        <f ca="1">Q157*1000000000/($B$22*'1a. Spredningsmodell input'!$C$26*1000)</f>
        <v>#VALUE!</v>
      </c>
      <c r="W157" s="44" t="e">
        <f t="shared" ca="1" si="53"/>
        <v>#VALUE!</v>
      </c>
      <c r="X157" s="167" t="e">
        <f t="shared" ca="1" si="54"/>
        <v>#VALUE!</v>
      </c>
      <c r="Y157" s="102" t="e">
        <f ca="1">(U157/1000000)*('1a. Spredningsmodell input'!$B$49)*'1a. Spredningsmodell input'!$C$35</f>
        <v>#VALUE!</v>
      </c>
      <c r="Z157" s="37" t="e">
        <f ca="1">(V157/1000000)*('1a. Spredningsmodell input'!$B$49)*'1a. Spredningsmodell input'!$C$35</f>
        <v>#VALUE!</v>
      </c>
      <c r="AA157" s="37" t="e">
        <f t="shared" ca="1" si="55"/>
        <v>#VALUE!</v>
      </c>
      <c r="AB157" s="1" t="e">
        <f t="shared" ca="1" si="56"/>
        <v>#VALUE!</v>
      </c>
      <c r="AC157" s="37" t="e">
        <f t="shared" ca="1" si="57"/>
        <v>#VALUE!</v>
      </c>
    </row>
    <row r="158" spans="7:29" x14ac:dyDescent="0.35">
      <c r="G158">
        <v>695</v>
      </c>
      <c r="H158">
        <f>'1a. Spredningsmodell input'!$I$2+G158</f>
        <v>695</v>
      </c>
      <c r="I158" t="e">
        <f t="shared" ca="1" si="41"/>
        <v>#VALUE!</v>
      </c>
      <c r="J158" t="e">
        <f t="shared" ca="1" si="42"/>
        <v>#VALUE!</v>
      </c>
      <c r="K158" t="e">
        <f t="shared" ca="1" si="43"/>
        <v>#VALUE!</v>
      </c>
      <c r="L158" t="e">
        <f t="shared" ca="1" si="58"/>
        <v>#VALUE!</v>
      </c>
      <c r="M158" t="e">
        <f t="shared" ca="1" si="44"/>
        <v>#VALUE!</v>
      </c>
      <c r="N158" s="22" t="e">
        <f t="shared" ca="1" si="45"/>
        <v>#VALUE!</v>
      </c>
      <c r="O158" t="e">
        <f t="shared" ca="1" si="46"/>
        <v>#VALUE!</v>
      </c>
      <c r="P158" s="18" t="e">
        <f t="shared" ca="1" si="47"/>
        <v>#VALUE!</v>
      </c>
      <c r="Q158" s="18" t="e">
        <f t="shared" ca="1" si="48"/>
        <v>#VALUE!</v>
      </c>
      <c r="R158" s="19" t="e">
        <f t="shared" ca="1" si="49"/>
        <v>#VALUE!</v>
      </c>
      <c r="S158" s="10" t="e">
        <f t="shared" ca="1" si="50"/>
        <v>#VALUE!</v>
      </c>
      <c r="T158" s="10" t="e">
        <f t="shared" ca="1" si="51"/>
        <v>#VALUE!</v>
      </c>
      <c r="U158" s="45" t="e">
        <f t="shared" ca="1" si="52"/>
        <v>#VALUE!</v>
      </c>
      <c r="V158" s="180" t="e">
        <f ca="1">Q158*1000000000/($B$22*'1a. Spredningsmodell input'!$C$26*1000)</f>
        <v>#VALUE!</v>
      </c>
      <c r="W158" s="44" t="e">
        <f t="shared" ca="1" si="53"/>
        <v>#VALUE!</v>
      </c>
      <c r="X158" s="167" t="e">
        <f t="shared" ca="1" si="54"/>
        <v>#VALUE!</v>
      </c>
      <c r="Y158" s="102" t="e">
        <f ca="1">(U158/1000000)*('1a. Spredningsmodell input'!$B$49)*'1a. Spredningsmodell input'!$C$35</f>
        <v>#VALUE!</v>
      </c>
      <c r="Z158" s="37" t="e">
        <f ca="1">(V158/1000000)*('1a. Spredningsmodell input'!$B$49)*'1a. Spredningsmodell input'!$C$35</f>
        <v>#VALUE!</v>
      </c>
      <c r="AA158" s="37" t="e">
        <f t="shared" ca="1" si="55"/>
        <v>#VALUE!</v>
      </c>
      <c r="AB158" s="1" t="e">
        <f t="shared" ca="1" si="56"/>
        <v>#VALUE!</v>
      </c>
      <c r="AC158" s="37" t="e">
        <f t="shared" ca="1" si="57"/>
        <v>#VALUE!</v>
      </c>
    </row>
    <row r="159" spans="7:29" x14ac:dyDescent="0.35">
      <c r="G159">
        <v>700</v>
      </c>
      <c r="H159">
        <f>'1a. Spredningsmodell input'!$I$2+G159</f>
        <v>700</v>
      </c>
      <c r="I159" t="e">
        <f t="shared" ca="1" si="41"/>
        <v>#VALUE!</v>
      </c>
      <c r="J159" t="e">
        <f t="shared" ca="1" si="42"/>
        <v>#VALUE!</v>
      </c>
      <c r="K159" t="e">
        <f t="shared" ca="1" si="43"/>
        <v>#VALUE!</v>
      </c>
      <c r="L159" t="e">
        <f t="shared" ca="1" si="58"/>
        <v>#VALUE!</v>
      </c>
      <c r="M159" t="e">
        <f t="shared" ca="1" si="44"/>
        <v>#VALUE!</v>
      </c>
      <c r="N159" s="22" t="e">
        <f t="shared" ca="1" si="45"/>
        <v>#VALUE!</v>
      </c>
      <c r="O159" t="e">
        <f t="shared" ca="1" si="46"/>
        <v>#VALUE!</v>
      </c>
      <c r="P159" s="31" t="e">
        <f t="shared" ca="1" si="47"/>
        <v>#VALUE!</v>
      </c>
      <c r="Q159" s="31" t="e">
        <f t="shared" ca="1" si="48"/>
        <v>#VALUE!</v>
      </c>
      <c r="R159" s="31" t="e">
        <f t="shared" ca="1" si="49"/>
        <v>#VALUE!</v>
      </c>
      <c r="S159" s="10" t="e">
        <f t="shared" ca="1" si="50"/>
        <v>#VALUE!</v>
      </c>
      <c r="T159" s="10" t="e">
        <f t="shared" ca="1" si="51"/>
        <v>#VALUE!</v>
      </c>
      <c r="U159" s="45" t="e">
        <f t="shared" ca="1" si="52"/>
        <v>#VALUE!</v>
      </c>
      <c r="V159" s="180" t="e">
        <f ca="1">Q159*1000000000/($B$22*'1a. Spredningsmodell input'!$C$26*1000)</f>
        <v>#VALUE!</v>
      </c>
      <c r="W159" s="44" t="e">
        <f t="shared" ca="1" si="53"/>
        <v>#VALUE!</v>
      </c>
      <c r="X159" s="167" t="e">
        <f t="shared" ca="1" si="54"/>
        <v>#VALUE!</v>
      </c>
      <c r="Y159" s="102" t="e">
        <f ca="1">(U159/1000000)*('1a. Spredningsmodell input'!$B$49)*'1a. Spredningsmodell input'!$C$35</f>
        <v>#VALUE!</v>
      </c>
      <c r="Z159" s="37" t="e">
        <f ca="1">(V159/1000000)*('1a. Spredningsmodell input'!$B$49)*'1a. Spredningsmodell input'!$C$35</f>
        <v>#VALUE!</v>
      </c>
      <c r="AA159" s="37" t="e">
        <f t="shared" ca="1" si="55"/>
        <v>#VALUE!</v>
      </c>
      <c r="AB159" s="1" t="e">
        <f t="shared" ca="1" si="56"/>
        <v>#VALUE!</v>
      </c>
      <c r="AC159" s="37" t="e">
        <f t="shared" ca="1" si="57"/>
        <v>#VALUE!</v>
      </c>
    </row>
    <row r="160" spans="7:29" x14ac:dyDescent="0.35">
      <c r="G160">
        <v>705</v>
      </c>
      <c r="H160">
        <f>'1a. Spredningsmodell input'!$I$2+G160</f>
        <v>705</v>
      </c>
      <c r="I160" t="e">
        <f t="shared" ca="1" si="41"/>
        <v>#VALUE!</v>
      </c>
      <c r="J160" t="e">
        <f t="shared" ca="1" si="42"/>
        <v>#VALUE!</v>
      </c>
      <c r="K160" t="e">
        <f t="shared" ca="1" si="43"/>
        <v>#VALUE!</v>
      </c>
      <c r="L160" t="e">
        <f t="shared" ca="1" si="58"/>
        <v>#VALUE!</v>
      </c>
      <c r="M160" t="e">
        <f t="shared" ca="1" si="44"/>
        <v>#VALUE!</v>
      </c>
      <c r="N160" s="22" t="e">
        <f t="shared" ca="1" si="45"/>
        <v>#VALUE!</v>
      </c>
      <c r="O160" t="e">
        <f t="shared" ca="1" si="46"/>
        <v>#VALUE!</v>
      </c>
      <c r="P160" s="31" t="e">
        <f t="shared" ca="1" si="47"/>
        <v>#VALUE!</v>
      </c>
      <c r="Q160" s="31" t="e">
        <f t="shared" ca="1" si="48"/>
        <v>#VALUE!</v>
      </c>
      <c r="R160" s="31" t="e">
        <f t="shared" ca="1" si="49"/>
        <v>#VALUE!</v>
      </c>
      <c r="S160" s="10" t="e">
        <f t="shared" ca="1" si="50"/>
        <v>#VALUE!</v>
      </c>
      <c r="T160" s="10" t="e">
        <f t="shared" ca="1" si="51"/>
        <v>#VALUE!</v>
      </c>
      <c r="U160" s="45" t="e">
        <f t="shared" ca="1" si="52"/>
        <v>#VALUE!</v>
      </c>
      <c r="V160" s="180" t="e">
        <f ca="1">Q160*1000000000/($B$22*'1a. Spredningsmodell input'!$C$26*1000)</f>
        <v>#VALUE!</v>
      </c>
      <c r="W160" s="44" t="e">
        <f t="shared" ca="1" si="53"/>
        <v>#VALUE!</v>
      </c>
      <c r="X160" s="167" t="e">
        <f t="shared" ca="1" si="54"/>
        <v>#VALUE!</v>
      </c>
      <c r="Y160" s="102" t="e">
        <f ca="1">(U160/1000000)*('1a. Spredningsmodell input'!$B$49)*'1a. Spredningsmodell input'!$C$35</f>
        <v>#VALUE!</v>
      </c>
      <c r="Z160" s="37" t="e">
        <f ca="1">(V160/1000000)*('1a. Spredningsmodell input'!$B$49)*'1a. Spredningsmodell input'!$C$35</f>
        <v>#VALUE!</v>
      </c>
      <c r="AA160" s="37" t="e">
        <f t="shared" ca="1" si="55"/>
        <v>#VALUE!</v>
      </c>
      <c r="AB160" s="1" t="e">
        <f t="shared" ca="1" si="56"/>
        <v>#VALUE!</v>
      </c>
      <c r="AC160" s="37" t="e">
        <f t="shared" ca="1" si="57"/>
        <v>#VALUE!</v>
      </c>
    </row>
    <row r="161" spans="7:29" x14ac:dyDescent="0.35">
      <c r="G161">
        <v>710</v>
      </c>
      <c r="H161">
        <f>'1a. Spredningsmodell input'!$I$2+G161</f>
        <v>710</v>
      </c>
      <c r="I161" t="e">
        <f t="shared" ca="1" si="41"/>
        <v>#VALUE!</v>
      </c>
      <c r="J161" t="e">
        <f t="shared" ca="1" si="42"/>
        <v>#VALUE!</v>
      </c>
      <c r="K161" t="e">
        <f t="shared" ca="1" si="43"/>
        <v>#VALUE!</v>
      </c>
      <c r="L161" t="e">
        <f t="shared" ca="1" si="58"/>
        <v>#VALUE!</v>
      </c>
      <c r="M161" t="e">
        <f t="shared" ca="1" si="44"/>
        <v>#VALUE!</v>
      </c>
      <c r="N161" s="22" t="e">
        <f t="shared" ca="1" si="45"/>
        <v>#VALUE!</v>
      </c>
      <c r="O161" t="e">
        <f t="shared" ca="1" si="46"/>
        <v>#VALUE!</v>
      </c>
      <c r="P161" s="31" t="e">
        <f t="shared" ca="1" si="47"/>
        <v>#VALUE!</v>
      </c>
      <c r="Q161" s="31" t="e">
        <f t="shared" ca="1" si="48"/>
        <v>#VALUE!</v>
      </c>
      <c r="R161" s="31" t="e">
        <f t="shared" ca="1" si="49"/>
        <v>#VALUE!</v>
      </c>
      <c r="S161" s="10" t="e">
        <f t="shared" ca="1" si="50"/>
        <v>#VALUE!</v>
      </c>
      <c r="T161" s="10" t="e">
        <f t="shared" ca="1" si="51"/>
        <v>#VALUE!</v>
      </c>
      <c r="U161" s="45" t="e">
        <f t="shared" ca="1" si="52"/>
        <v>#VALUE!</v>
      </c>
      <c r="V161" s="180" t="e">
        <f ca="1">Q161*1000000000/($B$22*'1a. Spredningsmodell input'!$C$26*1000)</f>
        <v>#VALUE!</v>
      </c>
      <c r="W161" s="44" t="e">
        <f t="shared" ca="1" si="53"/>
        <v>#VALUE!</v>
      </c>
      <c r="X161" s="167" t="e">
        <f t="shared" ca="1" si="54"/>
        <v>#VALUE!</v>
      </c>
      <c r="Y161" s="102" t="e">
        <f ca="1">(U161/1000000)*('1a. Spredningsmodell input'!$B$49)*'1a. Spredningsmodell input'!$C$35</f>
        <v>#VALUE!</v>
      </c>
      <c r="Z161" s="37" t="e">
        <f ca="1">(V161/1000000)*('1a. Spredningsmodell input'!$B$49)*'1a. Spredningsmodell input'!$C$35</f>
        <v>#VALUE!</v>
      </c>
      <c r="AA161" s="37" t="e">
        <f t="shared" ca="1" si="55"/>
        <v>#VALUE!</v>
      </c>
      <c r="AB161" s="1" t="e">
        <f t="shared" ca="1" si="56"/>
        <v>#VALUE!</v>
      </c>
      <c r="AC161" s="37" t="e">
        <f t="shared" ca="1" si="57"/>
        <v>#VALUE!</v>
      </c>
    </row>
    <row r="162" spans="7:29" x14ac:dyDescent="0.35">
      <c r="G162">
        <v>715</v>
      </c>
      <c r="H162">
        <f>'1a. Spredningsmodell input'!$I$2+G162</f>
        <v>715</v>
      </c>
      <c r="I162" t="e">
        <f t="shared" ca="1" si="41"/>
        <v>#VALUE!</v>
      </c>
      <c r="J162" t="e">
        <f t="shared" ca="1" si="42"/>
        <v>#VALUE!</v>
      </c>
      <c r="K162" t="e">
        <f t="shared" ca="1" si="43"/>
        <v>#VALUE!</v>
      </c>
      <c r="L162" t="e">
        <f t="shared" ca="1" si="58"/>
        <v>#VALUE!</v>
      </c>
      <c r="M162" t="e">
        <f t="shared" ca="1" si="44"/>
        <v>#VALUE!</v>
      </c>
      <c r="N162" s="22" t="e">
        <f t="shared" ca="1" si="45"/>
        <v>#VALUE!</v>
      </c>
      <c r="O162" t="e">
        <f t="shared" ca="1" si="46"/>
        <v>#VALUE!</v>
      </c>
      <c r="P162" s="18" t="e">
        <f t="shared" ca="1" si="47"/>
        <v>#VALUE!</v>
      </c>
      <c r="Q162" s="18" t="e">
        <f t="shared" ca="1" si="48"/>
        <v>#VALUE!</v>
      </c>
      <c r="R162" s="19" t="e">
        <f t="shared" ca="1" si="49"/>
        <v>#VALUE!</v>
      </c>
      <c r="S162" s="10" t="e">
        <f t="shared" ca="1" si="50"/>
        <v>#VALUE!</v>
      </c>
      <c r="T162" s="10" t="e">
        <f t="shared" ca="1" si="51"/>
        <v>#VALUE!</v>
      </c>
      <c r="U162" s="45" t="e">
        <f t="shared" ca="1" si="52"/>
        <v>#VALUE!</v>
      </c>
      <c r="V162" s="180" t="e">
        <f ca="1">Q162*1000000000/($B$22*'1a. Spredningsmodell input'!$C$26*1000)</f>
        <v>#VALUE!</v>
      </c>
      <c r="W162" s="44" t="e">
        <f t="shared" ca="1" si="53"/>
        <v>#VALUE!</v>
      </c>
      <c r="X162" s="167" t="e">
        <f t="shared" ca="1" si="54"/>
        <v>#VALUE!</v>
      </c>
      <c r="Y162" s="102" t="e">
        <f ca="1">(U162/1000000)*('1a. Spredningsmodell input'!$B$49)*'1a. Spredningsmodell input'!$C$35</f>
        <v>#VALUE!</v>
      </c>
      <c r="Z162" s="37" t="e">
        <f ca="1">(V162/1000000)*('1a. Spredningsmodell input'!$B$49)*'1a. Spredningsmodell input'!$C$35</f>
        <v>#VALUE!</v>
      </c>
      <c r="AA162" s="37" t="e">
        <f t="shared" ca="1" si="55"/>
        <v>#VALUE!</v>
      </c>
      <c r="AB162" s="1" t="e">
        <f t="shared" ca="1" si="56"/>
        <v>#VALUE!</v>
      </c>
      <c r="AC162" s="37" t="e">
        <f t="shared" ca="1" si="57"/>
        <v>#VALUE!</v>
      </c>
    </row>
    <row r="163" spans="7:29" x14ac:dyDescent="0.35">
      <c r="G163">
        <v>720</v>
      </c>
      <c r="H163">
        <f>'1a. Spredningsmodell input'!$I$2+G163</f>
        <v>720</v>
      </c>
      <c r="I163" t="e">
        <f t="shared" ca="1" si="41"/>
        <v>#VALUE!</v>
      </c>
      <c r="J163" t="e">
        <f t="shared" ca="1" si="42"/>
        <v>#VALUE!</v>
      </c>
      <c r="K163" t="e">
        <f t="shared" ca="1" si="43"/>
        <v>#VALUE!</v>
      </c>
      <c r="L163" t="e">
        <f t="shared" ca="1" si="58"/>
        <v>#VALUE!</v>
      </c>
      <c r="M163" t="e">
        <f t="shared" ca="1" si="44"/>
        <v>#VALUE!</v>
      </c>
      <c r="N163" s="22" t="e">
        <f t="shared" ca="1" si="45"/>
        <v>#VALUE!</v>
      </c>
      <c r="O163" t="e">
        <f t="shared" ca="1" si="46"/>
        <v>#VALUE!</v>
      </c>
      <c r="P163" s="31" t="e">
        <f t="shared" ca="1" si="47"/>
        <v>#VALUE!</v>
      </c>
      <c r="Q163" s="31" t="e">
        <f t="shared" ca="1" si="48"/>
        <v>#VALUE!</v>
      </c>
      <c r="R163" s="31" t="e">
        <f t="shared" ca="1" si="49"/>
        <v>#VALUE!</v>
      </c>
      <c r="S163" s="10" t="e">
        <f t="shared" ca="1" si="50"/>
        <v>#VALUE!</v>
      </c>
      <c r="T163" s="10" t="e">
        <f t="shared" ca="1" si="51"/>
        <v>#VALUE!</v>
      </c>
      <c r="U163" s="45" t="e">
        <f t="shared" ca="1" si="52"/>
        <v>#VALUE!</v>
      </c>
      <c r="V163" s="180" t="e">
        <f ca="1">Q163*1000000000/($B$22*'1a. Spredningsmodell input'!$C$26*1000)</f>
        <v>#VALUE!</v>
      </c>
      <c r="W163" s="44" t="e">
        <f t="shared" ca="1" si="53"/>
        <v>#VALUE!</v>
      </c>
      <c r="X163" s="167" t="e">
        <f t="shared" ca="1" si="54"/>
        <v>#VALUE!</v>
      </c>
      <c r="Y163" s="102" t="e">
        <f ca="1">(U163/1000000)*('1a. Spredningsmodell input'!$B$49)*'1a. Spredningsmodell input'!$C$35</f>
        <v>#VALUE!</v>
      </c>
      <c r="Z163" s="37" t="e">
        <f ca="1">(V163/1000000)*('1a. Spredningsmodell input'!$B$49)*'1a. Spredningsmodell input'!$C$35</f>
        <v>#VALUE!</v>
      </c>
      <c r="AA163" s="37" t="e">
        <f t="shared" ca="1" si="55"/>
        <v>#VALUE!</v>
      </c>
      <c r="AB163" s="1" t="e">
        <f t="shared" ca="1" si="56"/>
        <v>#VALUE!</v>
      </c>
      <c r="AC163" s="37" t="e">
        <f t="shared" ca="1" si="57"/>
        <v>#VALUE!</v>
      </c>
    </row>
    <row r="164" spans="7:29" x14ac:dyDescent="0.35">
      <c r="G164">
        <v>725</v>
      </c>
      <c r="H164">
        <f>'1a. Spredningsmodell input'!$I$2+G164</f>
        <v>725</v>
      </c>
      <c r="I164" t="e">
        <f t="shared" ca="1" si="41"/>
        <v>#VALUE!</v>
      </c>
      <c r="J164" t="e">
        <f t="shared" ca="1" si="42"/>
        <v>#VALUE!</v>
      </c>
      <c r="K164" t="e">
        <f t="shared" ca="1" si="43"/>
        <v>#VALUE!</v>
      </c>
      <c r="L164" t="e">
        <f t="shared" ca="1" si="58"/>
        <v>#VALUE!</v>
      </c>
      <c r="M164" t="e">
        <f t="shared" ca="1" si="44"/>
        <v>#VALUE!</v>
      </c>
      <c r="N164" s="22" t="e">
        <f t="shared" ca="1" si="45"/>
        <v>#VALUE!</v>
      </c>
      <c r="O164" t="e">
        <f t="shared" ca="1" si="46"/>
        <v>#VALUE!</v>
      </c>
      <c r="P164" s="31" t="e">
        <f t="shared" ca="1" si="47"/>
        <v>#VALUE!</v>
      </c>
      <c r="Q164" s="31" t="e">
        <f t="shared" ca="1" si="48"/>
        <v>#VALUE!</v>
      </c>
      <c r="R164" s="31" t="e">
        <f t="shared" ca="1" si="49"/>
        <v>#VALUE!</v>
      </c>
      <c r="S164" s="10" t="e">
        <f t="shared" ca="1" si="50"/>
        <v>#VALUE!</v>
      </c>
      <c r="T164" s="10" t="e">
        <f t="shared" ca="1" si="51"/>
        <v>#VALUE!</v>
      </c>
      <c r="U164" s="45" t="e">
        <f t="shared" ca="1" si="52"/>
        <v>#VALUE!</v>
      </c>
      <c r="V164" s="180" t="e">
        <f ca="1">Q164*1000000000/($B$22*'1a. Spredningsmodell input'!$C$26*1000)</f>
        <v>#VALUE!</v>
      </c>
      <c r="W164" s="44" t="e">
        <f t="shared" ca="1" si="53"/>
        <v>#VALUE!</v>
      </c>
      <c r="X164" s="167" t="e">
        <f t="shared" ca="1" si="54"/>
        <v>#VALUE!</v>
      </c>
      <c r="Y164" s="102" t="e">
        <f ca="1">(U164/1000000)*('1a. Spredningsmodell input'!$B$49)*'1a. Spredningsmodell input'!$C$35</f>
        <v>#VALUE!</v>
      </c>
      <c r="Z164" s="37" t="e">
        <f ca="1">(V164/1000000)*('1a. Spredningsmodell input'!$B$49)*'1a. Spredningsmodell input'!$C$35</f>
        <v>#VALUE!</v>
      </c>
      <c r="AA164" s="37" t="e">
        <f t="shared" ca="1" si="55"/>
        <v>#VALUE!</v>
      </c>
      <c r="AB164" s="1" t="e">
        <f t="shared" ca="1" si="56"/>
        <v>#VALUE!</v>
      </c>
      <c r="AC164" s="37" t="e">
        <f t="shared" ca="1" si="57"/>
        <v>#VALUE!</v>
      </c>
    </row>
    <row r="165" spans="7:29" x14ac:dyDescent="0.35">
      <c r="G165">
        <v>730</v>
      </c>
      <c r="H165">
        <f>'1a. Spredningsmodell input'!$I$2+G165</f>
        <v>730</v>
      </c>
      <c r="I165" t="e">
        <f t="shared" ca="1" si="41"/>
        <v>#VALUE!</v>
      </c>
      <c r="J165" t="e">
        <f t="shared" ca="1" si="42"/>
        <v>#VALUE!</v>
      </c>
      <c r="K165" t="e">
        <f t="shared" ca="1" si="43"/>
        <v>#VALUE!</v>
      </c>
      <c r="L165" t="e">
        <f t="shared" ca="1" si="58"/>
        <v>#VALUE!</v>
      </c>
      <c r="M165" t="e">
        <f t="shared" ca="1" si="44"/>
        <v>#VALUE!</v>
      </c>
      <c r="N165" s="22" t="e">
        <f t="shared" ca="1" si="45"/>
        <v>#VALUE!</v>
      </c>
      <c r="O165" t="e">
        <f t="shared" ca="1" si="46"/>
        <v>#VALUE!</v>
      </c>
      <c r="P165" s="31" t="e">
        <f t="shared" ca="1" si="47"/>
        <v>#VALUE!</v>
      </c>
      <c r="Q165" s="31" t="e">
        <f t="shared" ca="1" si="48"/>
        <v>#VALUE!</v>
      </c>
      <c r="R165" s="31" t="e">
        <f t="shared" ca="1" si="49"/>
        <v>#VALUE!</v>
      </c>
      <c r="S165" s="10" t="e">
        <f t="shared" ca="1" si="50"/>
        <v>#VALUE!</v>
      </c>
      <c r="T165" s="10" t="e">
        <f t="shared" ca="1" si="51"/>
        <v>#VALUE!</v>
      </c>
      <c r="U165" s="45" t="e">
        <f t="shared" ca="1" si="52"/>
        <v>#VALUE!</v>
      </c>
      <c r="V165" s="180" t="e">
        <f ca="1">Q165*1000000000/($B$22*'1a. Spredningsmodell input'!$C$26*1000)</f>
        <v>#VALUE!</v>
      </c>
      <c r="W165" s="44" t="e">
        <f t="shared" ca="1" si="53"/>
        <v>#VALUE!</v>
      </c>
      <c r="X165" s="167" t="e">
        <f t="shared" ca="1" si="54"/>
        <v>#VALUE!</v>
      </c>
      <c r="Y165" s="102" t="e">
        <f ca="1">(U165/1000000)*('1a. Spredningsmodell input'!$B$49)*'1a. Spredningsmodell input'!$C$35</f>
        <v>#VALUE!</v>
      </c>
      <c r="Z165" s="37" t="e">
        <f ca="1">(V165/1000000)*('1a. Spredningsmodell input'!$B$49)*'1a. Spredningsmodell input'!$C$35</f>
        <v>#VALUE!</v>
      </c>
      <c r="AA165" s="37" t="e">
        <f t="shared" ca="1" si="55"/>
        <v>#VALUE!</v>
      </c>
      <c r="AB165" s="1" t="e">
        <f t="shared" ca="1" si="56"/>
        <v>#VALUE!</v>
      </c>
      <c r="AC165" s="37" t="e">
        <f t="shared" ca="1" si="57"/>
        <v>#VALUE!</v>
      </c>
    </row>
    <row r="166" spans="7:29" x14ac:dyDescent="0.35">
      <c r="G166">
        <v>735</v>
      </c>
      <c r="H166">
        <f>'1a. Spredningsmodell input'!$I$2+G166</f>
        <v>735</v>
      </c>
      <c r="I166" t="e">
        <f t="shared" ca="1" si="41"/>
        <v>#VALUE!</v>
      </c>
      <c r="J166" t="e">
        <f t="shared" ca="1" si="42"/>
        <v>#VALUE!</v>
      </c>
      <c r="K166" t="e">
        <f t="shared" ca="1" si="43"/>
        <v>#VALUE!</v>
      </c>
      <c r="L166" t="e">
        <f t="shared" ca="1" si="58"/>
        <v>#VALUE!</v>
      </c>
      <c r="M166" t="e">
        <f t="shared" ca="1" si="44"/>
        <v>#VALUE!</v>
      </c>
      <c r="N166" s="22" t="e">
        <f t="shared" ca="1" si="45"/>
        <v>#VALUE!</v>
      </c>
      <c r="O166" t="e">
        <f t="shared" ca="1" si="46"/>
        <v>#VALUE!</v>
      </c>
      <c r="P166" s="18" t="e">
        <f t="shared" ca="1" si="47"/>
        <v>#VALUE!</v>
      </c>
      <c r="Q166" s="18" t="e">
        <f t="shared" ca="1" si="48"/>
        <v>#VALUE!</v>
      </c>
      <c r="R166" s="19" t="e">
        <f t="shared" ca="1" si="49"/>
        <v>#VALUE!</v>
      </c>
      <c r="S166" s="10" t="e">
        <f t="shared" ca="1" si="50"/>
        <v>#VALUE!</v>
      </c>
      <c r="T166" s="10" t="e">
        <f t="shared" ca="1" si="51"/>
        <v>#VALUE!</v>
      </c>
      <c r="U166" s="45" t="e">
        <f t="shared" ca="1" si="52"/>
        <v>#VALUE!</v>
      </c>
      <c r="V166" s="180" t="e">
        <f ca="1">Q166*1000000000/($B$22*'1a. Spredningsmodell input'!$C$26*1000)</f>
        <v>#VALUE!</v>
      </c>
      <c r="W166" s="44" t="e">
        <f t="shared" ca="1" si="53"/>
        <v>#VALUE!</v>
      </c>
      <c r="X166" s="167" t="e">
        <f t="shared" ca="1" si="54"/>
        <v>#VALUE!</v>
      </c>
      <c r="Y166" s="102" t="e">
        <f ca="1">(U166/1000000)*('1a. Spredningsmodell input'!$B$49)*'1a. Spredningsmodell input'!$C$35</f>
        <v>#VALUE!</v>
      </c>
      <c r="Z166" s="37" t="e">
        <f ca="1">(V166/1000000)*('1a. Spredningsmodell input'!$B$49)*'1a. Spredningsmodell input'!$C$35</f>
        <v>#VALUE!</v>
      </c>
      <c r="AA166" s="37" t="e">
        <f t="shared" ca="1" si="55"/>
        <v>#VALUE!</v>
      </c>
      <c r="AB166" s="1" t="e">
        <f t="shared" ca="1" si="56"/>
        <v>#VALUE!</v>
      </c>
      <c r="AC166" s="37" t="e">
        <f t="shared" ca="1" si="57"/>
        <v>#VALUE!</v>
      </c>
    </row>
    <row r="167" spans="7:29" x14ac:dyDescent="0.35">
      <c r="G167">
        <v>740</v>
      </c>
      <c r="H167">
        <f>'1a. Spredningsmodell input'!$I$2+G167</f>
        <v>740</v>
      </c>
      <c r="I167" t="e">
        <f t="shared" ca="1" si="41"/>
        <v>#VALUE!</v>
      </c>
      <c r="J167" t="e">
        <f t="shared" ca="1" si="42"/>
        <v>#VALUE!</v>
      </c>
      <c r="K167" t="e">
        <f t="shared" ca="1" si="43"/>
        <v>#VALUE!</v>
      </c>
      <c r="L167" t="e">
        <f t="shared" ca="1" si="58"/>
        <v>#VALUE!</v>
      </c>
      <c r="M167" t="e">
        <f t="shared" ca="1" si="44"/>
        <v>#VALUE!</v>
      </c>
      <c r="N167" s="22" t="e">
        <f t="shared" ca="1" si="45"/>
        <v>#VALUE!</v>
      </c>
      <c r="O167" t="e">
        <f t="shared" ca="1" si="46"/>
        <v>#VALUE!</v>
      </c>
      <c r="P167" s="31" t="e">
        <f t="shared" ca="1" si="47"/>
        <v>#VALUE!</v>
      </c>
      <c r="Q167" s="31" t="e">
        <f t="shared" ca="1" si="48"/>
        <v>#VALUE!</v>
      </c>
      <c r="R167" s="31" t="e">
        <f t="shared" ca="1" si="49"/>
        <v>#VALUE!</v>
      </c>
      <c r="S167" s="10" t="e">
        <f t="shared" ca="1" si="50"/>
        <v>#VALUE!</v>
      </c>
      <c r="T167" s="10" t="e">
        <f t="shared" ca="1" si="51"/>
        <v>#VALUE!</v>
      </c>
      <c r="U167" s="45" t="e">
        <f t="shared" ca="1" si="52"/>
        <v>#VALUE!</v>
      </c>
      <c r="V167" s="180" t="e">
        <f ca="1">Q167*1000000000/($B$22*'1a. Spredningsmodell input'!$C$26*1000)</f>
        <v>#VALUE!</v>
      </c>
      <c r="W167" s="44" t="e">
        <f t="shared" ca="1" si="53"/>
        <v>#VALUE!</v>
      </c>
      <c r="X167" s="167" t="e">
        <f t="shared" ca="1" si="54"/>
        <v>#VALUE!</v>
      </c>
      <c r="Y167" s="102" t="e">
        <f ca="1">(U167/1000000)*('1a. Spredningsmodell input'!$B$49)*'1a. Spredningsmodell input'!$C$35</f>
        <v>#VALUE!</v>
      </c>
      <c r="Z167" s="37" t="e">
        <f ca="1">(V167/1000000)*('1a. Spredningsmodell input'!$B$49)*'1a. Spredningsmodell input'!$C$35</f>
        <v>#VALUE!</v>
      </c>
      <c r="AA167" s="37" t="e">
        <f t="shared" ca="1" si="55"/>
        <v>#VALUE!</v>
      </c>
      <c r="AB167" s="1" t="e">
        <f t="shared" ca="1" si="56"/>
        <v>#VALUE!</v>
      </c>
      <c r="AC167" s="37" t="e">
        <f t="shared" ca="1" si="57"/>
        <v>#VALUE!</v>
      </c>
    </row>
    <row r="168" spans="7:29" x14ac:dyDescent="0.35">
      <c r="G168">
        <v>745</v>
      </c>
      <c r="H168">
        <f>'1a. Spredningsmodell input'!$I$2+G168</f>
        <v>745</v>
      </c>
      <c r="I168" t="e">
        <f t="shared" ca="1" si="41"/>
        <v>#VALUE!</v>
      </c>
      <c r="J168" t="e">
        <f t="shared" ca="1" si="42"/>
        <v>#VALUE!</v>
      </c>
      <c r="K168" t="e">
        <f t="shared" ca="1" si="43"/>
        <v>#VALUE!</v>
      </c>
      <c r="L168" t="e">
        <f t="shared" ca="1" si="58"/>
        <v>#VALUE!</v>
      </c>
      <c r="M168" t="e">
        <f t="shared" ca="1" si="44"/>
        <v>#VALUE!</v>
      </c>
      <c r="N168" s="22" t="e">
        <f t="shared" ca="1" si="45"/>
        <v>#VALUE!</v>
      </c>
      <c r="O168" t="e">
        <f t="shared" ca="1" si="46"/>
        <v>#VALUE!</v>
      </c>
      <c r="P168" s="31" t="e">
        <f t="shared" ca="1" si="47"/>
        <v>#VALUE!</v>
      </c>
      <c r="Q168" s="31" t="e">
        <f t="shared" ca="1" si="48"/>
        <v>#VALUE!</v>
      </c>
      <c r="R168" s="31" t="e">
        <f t="shared" ca="1" si="49"/>
        <v>#VALUE!</v>
      </c>
      <c r="S168" s="10" t="e">
        <f t="shared" ca="1" si="50"/>
        <v>#VALUE!</v>
      </c>
      <c r="T168" s="10" t="e">
        <f t="shared" ca="1" si="51"/>
        <v>#VALUE!</v>
      </c>
      <c r="U168" s="45" t="e">
        <f t="shared" ca="1" si="52"/>
        <v>#VALUE!</v>
      </c>
      <c r="V168" s="180" t="e">
        <f ca="1">Q168*1000000000/($B$22*'1a. Spredningsmodell input'!$C$26*1000)</f>
        <v>#VALUE!</v>
      </c>
      <c r="W168" s="44" t="e">
        <f t="shared" ca="1" si="53"/>
        <v>#VALUE!</v>
      </c>
      <c r="X168" s="167" t="e">
        <f t="shared" ca="1" si="54"/>
        <v>#VALUE!</v>
      </c>
      <c r="Y168" s="102" t="e">
        <f ca="1">(U168/1000000)*('1a. Spredningsmodell input'!$B$49)*'1a. Spredningsmodell input'!$C$35</f>
        <v>#VALUE!</v>
      </c>
      <c r="Z168" s="37" t="e">
        <f ca="1">(V168/1000000)*('1a. Spredningsmodell input'!$B$49)*'1a. Spredningsmodell input'!$C$35</f>
        <v>#VALUE!</v>
      </c>
      <c r="AA168" s="37" t="e">
        <f t="shared" ca="1" si="55"/>
        <v>#VALUE!</v>
      </c>
      <c r="AB168" s="1" t="e">
        <f t="shared" ca="1" si="56"/>
        <v>#VALUE!</v>
      </c>
      <c r="AC168" s="37" t="e">
        <f t="shared" ca="1" si="57"/>
        <v>#VALUE!</v>
      </c>
    </row>
    <row r="169" spans="7:29" x14ac:dyDescent="0.35">
      <c r="G169">
        <v>750</v>
      </c>
      <c r="H169">
        <f>'1a. Spredningsmodell input'!$I$2+G169</f>
        <v>750</v>
      </c>
      <c r="I169" t="e">
        <f t="shared" ca="1" si="41"/>
        <v>#VALUE!</v>
      </c>
      <c r="J169" t="e">
        <f t="shared" ca="1" si="42"/>
        <v>#VALUE!</v>
      </c>
      <c r="K169" t="e">
        <f t="shared" ca="1" si="43"/>
        <v>#VALUE!</v>
      </c>
      <c r="L169" t="e">
        <f t="shared" ca="1" si="58"/>
        <v>#VALUE!</v>
      </c>
      <c r="M169" t="e">
        <f t="shared" ca="1" si="44"/>
        <v>#VALUE!</v>
      </c>
      <c r="N169" s="22" t="e">
        <f t="shared" ca="1" si="45"/>
        <v>#VALUE!</v>
      </c>
      <c r="O169" t="e">
        <f t="shared" ca="1" si="46"/>
        <v>#VALUE!</v>
      </c>
      <c r="P169" s="31" t="e">
        <f t="shared" ca="1" si="47"/>
        <v>#VALUE!</v>
      </c>
      <c r="Q169" s="31" t="e">
        <f t="shared" ca="1" si="48"/>
        <v>#VALUE!</v>
      </c>
      <c r="R169" s="31" t="e">
        <f t="shared" ca="1" si="49"/>
        <v>#VALUE!</v>
      </c>
      <c r="S169" s="10" t="e">
        <f t="shared" ca="1" si="50"/>
        <v>#VALUE!</v>
      </c>
      <c r="T169" s="10" t="e">
        <f t="shared" ca="1" si="51"/>
        <v>#VALUE!</v>
      </c>
      <c r="U169" s="45" t="e">
        <f t="shared" ca="1" si="52"/>
        <v>#VALUE!</v>
      </c>
      <c r="V169" s="180" t="e">
        <f ca="1">Q169*1000000000/($B$22*'1a. Spredningsmodell input'!$C$26*1000)</f>
        <v>#VALUE!</v>
      </c>
      <c r="W169" s="44" t="e">
        <f t="shared" ca="1" si="53"/>
        <v>#VALUE!</v>
      </c>
      <c r="X169" s="167" t="e">
        <f t="shared" ca="1" si="54"/>
        <v>#VALUE!</v>
      </c>
      <c r="Y169" s="102" t="e">
        <f ca="1">(U169/1000000)*('1a. Spredningsmodell input'!$B$49)*'1a. Spredningsmodell input'!$C$35</f>
        <v>#VALUE!</v>
      </c>
      <c r="Z169" s="37" t="e">
        <f ca="1">(V169/1000000)*('1a. Spredningsmodell input'!$B$49)*'1a. Spredningsmodell input'!$C$35</f>
        <v>#VALUE!</v>
      </c>
      <c r="AA169" s="37" t="e">
        <f t="shared" ca="1" si="55"/>
        <v>#VALUE!</v>
      </c>
      <c r="AB169" s="1" t="e">
        <f t="shared" ca="1" si="56"/>
        <v>#VALUE!</v>
      </c>
      <c r="AC169" s="37" t="e">
        <f t="shared" ca="1" si="57"/>
        <v>#VALUE!</v>
      </c>
    </row>
    <row r="170" spans="7:29" x14ac:dyDescent="0.35">
      <c r="G170">
        <v>755</v>
      </c>
      <c r="H170">
        <f>'1a. Spredningsmodell input'!$I$2+G170</f>
        <v>755</v>
      </c>
      <c r="I170" t="e">
        <f t="shared" ca="1" si="41"/>
        <v>#VALUE!</v>
      </c>
      <c r="J170" t="e">
        <f t="shared" ca="1" si="42"/>
        <v>#VALUE!</v>
      </c>
      <c r="K170" t="e">
        <f t="shared" ca="1" si="43"/>
        <v>#VALUE!</v>
      </c>
      <c r="L170" t="e">
        <f t="shared" ca="1" si="58"/>
        <v>#VALUE!</v>
      </c>
      <c r="M170" t="e">
        <f t="shared" ca="1" si="44"/>
        <v>#VALUE!</v>
      </c>
      <c r="N170" s="22" t="e">
        <f t="shared" ca="1" si="45"/>
        <v>#VALUE!</v>
      </c>
      <c r="O170" t="e">
        <f t="shared" ca="1" si="46"/>
        <v>#VALUE!</v>
      </c>
      <c r="P170" s="18" t="e">
        <f t="shared" ca="1" si="47"/>
        <v>#VALUE!</v>
      </c>
      <c r="Q170" s="18" t="e">
        <f t="shared" ca="1" si="48"/>
        <v>#VALUE!</v>
      </c>
      <c r="R170" s="19" t="e">
        <f t="shared" ca="1" si="49"/>
        <v>#VALUE!</v>
      </c>
      <c r="S170" s="10" t="e">
        <f t="shared" ca="1" si="50"/>
        <v>#VALUE!</v>
      </c>
      <c r="T170" s="10" t="e">
        <f t="shared" ca="1" si="51"/>
        <v>#VALUE!</v>
      </c>
      <c r="U170" s="45" t="e">
        <f t="shared" ca="1" si="52"/>
        <v>#VALUE!</v>
      </c>
      <c r="V170" s="180" t="e">
        <f ca="1">Q170*1000000000/($B$22*'1a. Spredningsmodell input'!$C$26*1000)</f>
        <v>#VALUE!</v>
      </c>
      <c r="W170" s="44" t="e">
        <f t="shared" ca="1" si="53"/>
        <v>#VALUE!</v>
      </c>
      <c r="X170" s="167" t="e">
        <f t="shared" ca="1" si="54"/>
        <v>#VALUE!</v>
      </c>
      <c r="Y170" s="102" t="e">
        <f ca="1">(U170/1000000)*('1a. Spredningsmodell input'!$B$49)*'1a. Spredningsmodell input'!$C$35</f>
        <v>#VALUE!</v>
      </c>
      <c r="Z170" s="37" t="e">
        <f ca="1">(V170/1000000)*('1a. Spredningsmodell input'!$B$49)*'1a. Spredningsmodell input'!$C$35</f>
        <v>#VALUE!</v>
      </c>
      <c r="AA170" s="37" t="e">
        <f t="shared" ca="1" si="55"/>
        <v>#VALUE!</v>
      </c>
      <c r="AB170" s="1" t="e">
        <f t="shared" ca="1" si="56"/>
        <v>#VALUE!</v>
      </c>
      <c r="AC170" s="37" t="e">
        <f t="shared" ca="1" si="57"/>
        <v>#VALUE!</v>
      </c>
    </row>
    <row r="171" spans="7:29" x14ac:dyDescent="0.35">
      <c r="G171">
        <v>760</v>
      </c>
      <c r="H171">
        <f>'1a. Spredningsmodell input'!$I$2+G171</f>
        <v>760</v>
      </c>
      <c r="I171" t="e">
        <f t="shared" ca="1" si="41"/>
        <v>#VALUE!</v>
      </c>
      <c r="J171" t="e">
        <f t="shared" ca="1" si="42"/>
        <v>#VALUE!</v>
      </c>
      <c r="K171" t="e">
        <f t="shared" ca="1" si="43"/>
        <v>#VALUE!</v>
      </c>
      <c r="L171" t="e">
        <f t="shared" ca="1" si="58"/>
        <v>#VALUE!</v>
      </c>
      <c r="M171" t="e">
        <f t="shared" ca="1" si="44"/>
        <v>#VALUE!</v>
      </c>
      <c r="N171" s="22" t="e">
        <f t="shared" ca="1" si="45"/>
        <v>#VALUE!</v>
      </c>
      <c r="O171" t="e">
        <f t="shared" ca="1" si="46"/>
        <v>#VALUE!</v>
      </c>
      <c r="P171" s="31" t="e">
        <f t="shared" ca="1" si="47"/>
        <v>#VALUE!</v>
      </c>
      <c r="Q171" s="31" t="e">
        <f t="shared" ca="1" si="48"/>
        <v>#VALUE!</v>
      </c>
      <c r="R171" s="31" t="e">
        <f t="shared" ca="1" si="49"/>
        <v>#VALUE!</v>
      </c>
      <c r="S171" s="10" t="e">
        <f t="shared" ca="1" si="50"/>
        <v>#VALUE!</v>
      </c>
      <c r="T171" s="10" t="e">
        <f t="shared" ca="1" si="51"/>
        <v>#VALUE!</v>
      </c>
      <c r="U171" s="45" t="e">
        <f t="shared" ca="1" si="52"/>
        <v>#VALUE!</v>
      </c>
      <c r="V171" s="180" t="e">
        <f ca="1">Q171*1000000000/($B$22*'1a. Spredningsmodell input'!$C$26*1000)</f>
        <v>#VALUE!</v>
      </c>
      <c r="W171" s="44" t="e">
        <f t="shared" ca="1" si="53"/>
        <v>#VALUE!</v>
      </c>
      <c r="X171" s="167" t="e">
        <f t="shared" ca="1" si="54"/>
        <v>#VALUE!</v>
      </c>
      <c r="Y171" s="102" t="e">
        <f ca="1">(U171/1000000)*('1a. Spredningsmodell input'!$B$49)*'1a. Spredningsmodell input'!$C$35</f>
        <v>#VALUE!</v>
      </c>
      <c r="Z171" s="37" t="e">
        <f ca="1">(V171/1000000)*('1a. Spredningsmodell input'!$B$49)*'1a. Spredningsmodell input'!$C$35</f>
        <v>#VALUE!</v>
      </c>
      <c r="AA171" s="37" t="e">
        <f t="shared" ca="1" si="55"/>
        <v>#VALUE!</v>
      </c>
      <c r="AB171" s="1" t="e">
        <f t="shared" ca="1" si="56"/>
        <v>#VALUE!</v>
      </c>
      <c r="AC171" s="37" t="e">
        <f t="shared" ca="1" si="57"/>
        <v>#VALUE!</v>
      </c>
    </row>
    <row r="172" spans="7:29" x14ac:dyDescent="0.35">
      <c r="G172">
        <v>765</v>
      </c>
      <c r="H172">
        <f>'1a. Spredningsmodell input'!$I$2+G172</f>
        <v>765</v>
      </c>
      <c r="I172" t="e">
        <f t="shared" ca="1" si="41"/>
        <v>#VALUE!</v>
      </c>
      <c r="J172" t="e">
        <f t="shared" ca="1" si="42"/>
        <v>#VALUE!</v>
      </c>
      <c r="K172" t="e">
        <f t="shared" ca="1" si="43"/>
        <v>#VALUE!</v>
      </c>
      <c r="L172" t="e">
        <f t="shared" ca="1" si="58"/>
        <v>#VALUE!</v>
      </c>
      <c r="M172" t="e">
        <f t="shared" ca="1" si="44"/>
        <v>#VALUE!</v>
      </c>
      <c r="N172" s="22" t="e">
        <f t="shared" ca="1" si="45"/>
        <v>#VALUE!</v>
      </c>
      <c r="O172" t="e">
        <f t="shared" ca="1" si="46"/>
        <v>#VALUE!</v>
      </c>
      <c r="P172" s="31" t="e">
        <f t="shared" ca="1" si="47"/>
        <v>#VALUE!</v>
      </c>
      <c r="Q172" s="31" t="e">
        <f t="shared" ca="1" si="48"/>
        <v>#VALUE!</v>
      </c>
      <c r="R172" s="31" t="e">
        <f t="shared" ca="1" si="49"/>
        <v>#VALUE!</v>
      </c>
      <c r="S172" s="10" t="e">
        <f t="shared" ca="1" si="50"/>
        <v>#VALUE!</v>
      </c>
      <c r="T172" s="10" t="e">
        <f t="shared" ca="1" si="51"/>
        <v>#VALUE!</v>
      </c>
      <c r="U172" s="45" t="e">
        <f t="shared" ca="1" si="52"/>
        <v>#VALUE!</v>
      </c>
      <c r="V172" s="180" t="e">
        <f ca="1">Q172*1000000000/($B$22*'1a. Spredningsmodell input'!$C$26*1000)</f>
        <v>#VALUE!</v>
      </c>
      <c r="W172" s="44" t="e">
        <f t="shared" ca="1" si="53"/>
        <v>#VALUE!</v>
      </c>
      <c r="X172" s="167" t="e">
        <f t="shared" ca="1" si="54"/>
        <v>#VALUE!</v>
      </c>
      <c r="Y172" s="102" t="e">
        <f ca="1">(U172/1000000)*('1a. Spredningsmodell input'!$B$49)*'1a. Spredningsmodell input'!$C$35</f>
        <v>#VALUE!</v>
      </c>
      <c r="Z172" s="37" t="e">
        <f ca="1">(V172/1000000)*('1a. Spredningsmodell input'!$B$49)*'1a. Spredningsmodell input'!$C$35</f>
        <v>#VALUE!</v>
      </c>
      <c r="AA172" s="37" t="e">
        <f t="shared" ca="1" si="55"/>
        <v>#VALUE!</v>
      </c>
      <c r="AB172" s="1" t="e">
        <f t="shared" ca="1" si="56"/>
        <v>#VALUE!</v>
      </c>
      <c r="AC172" s="37" t="e">
        <f t="shared" ca="1" si="57"/>
        <v>#VALUE!</v>
      </c>
    </row>
    <row r="173" spans="7:29" x14ac:dyDescent="0.35">
      <c r="G173">
        <v>770</v>
      </c>
      <c r="H173">
        <f>'1a. Spredningsmodell input'!$I$2+G173</f>
        <v>770</v>
      </c>
      <c r="I173" t="e">
        <f t="shared" ca="1" si="41"/>
        <v>#VALUE!</v>
      </c>
      <c r="J173" t="e">
        <f t="shared" ca="1" si="42"/>
        <v>#VALUE!</v>
      </c>
      <c r="K173" t="e">
        <f t="shared" ca="1" si="43"/>
        <v>#VALUE!</v>
      </c>
      <c r="L173" t="e">
        <f t="shared" ca="1" si="58"/>
        <v>#VALUE!</v>
      </c>
      <c r="M173" t="e">
        <f t="shared" ca="1" si="44"/>
        <v>#VALUE!</v>
      </c>
      <c r="N173" s="22" t="e">
        <f t="shared" ca="1" si="45"/>
        <v>#VALUE!</v>
      </c>
      <c r="O173" t="e">
        <f t="shared" ca="1" si="46"/>
        <v>#VALUE!</v>
      </c>
      <c r="P173" s="31" t="e">
        <f t="shared" ca="1" si="47"/>
        <v>#VALUE!</v>
      </c>
      <c r="Q173" s="31" t="e">
        <f t="shared" ca="1" si="48"/>
        <v>#VALUE!</v>
      </c>
      <c r="R173" s="31" t="e">
        <f t="shared" ca="1" si="49"/>
        <v>#VALUE!</v>
      </c>
      <c r="S173" s="10" t="e">
        <f t="shared" ca="1" si="50"/>
        <v>#VALUE!</v>
      </c>
      <c r="T173" s="10" t="e">
        <f t="shared" ca="1" si="51"/>
        <v>#VALUE!</v>
      </c>
      <c r="U173" s="45" t="e">
        <f t="shared" ca="1" si="52"/>
        <v>#VALUE!</v>
      </c>
      <c r="V173" s="180" t="e">
        <f ca="1">Q173*1000000000/($B$22*'1a. Spredningsmodell input'!$C$26*1000)</f>
        <v>#VALUE!</v>
      </c>
      <c r="W173" s="44" t="e">
        <f t="shared" ca="1" si="53"/>
        <v>#VALUE!</v>
      </c>
      <c r="X173" s="167" t="e">
        <f t="shared" ca="1" si="54"/>
        <v>#VALUE!</v>
      </c>
      <c r="Y173" s="102" t="e">
        <f ca="1">(U173/1000000)*('1a. Spredningsmodell input'!$B$49)*'1a. Spredningsmodell input'!$C$35</f>
        <v>#VALUE!</v>
      </c>
      <c r="Z173" s="37" t="e">
        <f ca="1">(V173/1000000)*('1a. Spredningsmodell input'!$B$49)*'1a. Spredningsmodell input'!$C$35</f>
        <v>#VALUE!</v>
      </c>
      <c r="AA173" s="37" t="e">
        <f t="shared" ca="1" si="55"/>
        <v>#VALUE!</v>
      </c>
      <c r="AB173" s="1" t="e">
        <f t="shared" ca="1" si="56"/>
        <v>#VALUE!</v>
      </c>
      <c r="AC173" s="37" t="e">
        <f t="shared" ca="1" si="57"/>
        <v>#VALUE!</v>
      </c>
    </row>
    <row r="174" spans="7:29" x14ac:dyDescent="0.35">
      <c r="G174">
        <v>775</v>
      </c>
      <c r="H174">
        <f>'1a. Spredningsmodell input'!$I$2+G174</f>
        <v>775</v>
      </c>
      <c r="I174" t="e">
        <f t="shared" ca="1" si="41"/>
        <v>#VALUE!</v>
      </c>
      <c r="J174" t="e">
        <f t="shared" ca="1" si="42"/>
        <v>#VALUE!</v>
      </c>
      <c r="K174" t="e">
        <f t="shared" ca="1" si="43"/>
        <v>#VALUE!</v>
      </c>
      <c r="L174" t="e">
        <f t="shared" ca="1" si="58"/>
        <v>#VALUE!</v>
      </c>
      <c r="M174" t="e">
        <f t="shared" ca="1" si="44"/>
        <v>#VALUE!</v>
      </c>
      <c r="N174" s="22" t="e">
        <f t="shared" ca="1" si="45"/>
        <v>#VALUE!</v>
      </c>
      <c r="O174" t="e">
        <f t="shared" ca="1" si="46"/>
        <v>#VALUE!</v>
      </c>
      <c r="P174" s="18" t="e">
        <f t="shared" ca="1" si="47"/>
        <v>#VALUE!</v>
      </c>
      <c r="Q174" s="18" t="e">
        <f t="shared" ca="1" si="48"/>
        <v>#VALUE!</v>
      </c>
      <c r="R174" s="19" t="e">
        <f t="shared" ca="1" si="49"/>
        <v>#VALUE!</v>
      </c>
      <c r="S174" s="10" t="e">
        <f t="shared" ca="1" si="50"/>
        <v>#VALUE!</v>
      </c>
      <c r="T174" s="10" t="e">
        <f t="shared" ca="1" si="51"/>
        <v>#VALUE!</v>
      </c>
      <c r="U174" s="45" t="e">
        <f t="shared" ca="1" si="52"/>
        <v>#VALUE!</v>
      </c>
      <c r="V174" s="180" t="e">
        <f ca="1">Q174*1000000000/($B$22*'1a. Spredningsmodell input'!$C$26*1000)</f>
        <v>#VALUE!</v>
      </c>
      <c r="W174" s="44" t="e">
        <f t="shared" ca="1" si="53"/>
        <v>#VALUE!</v>
      </c>
      <c r="X174" s="167" t="e">
        <f t="shared" ca="1" si="54"/>
        <v>#VALUE!</v>
      </c>
      <c r="Y174" s="102" t="e">
        <f ca="1">(U174/1000000)*('1a. Spredningsmodell input'!$B$49)*'1a. Spredningsmodell input'!$C$35</f>
        <v>#VALUE!</v>
      </c>
      <c r="Z174" s="37" t="e">
        <f ca="1">(V174/1000000)*('1a. Spredningsmodell input'!$B$49)*'1a. Spredningsmodell input'!$C$35</f>
        <v>#VALUE!</v>
      </c>
      <c r="AA174" s="37" t="e">
        <f t="shared" ca="1" si="55"/>
        <v>#VALUE!</v>
      </c>
      <c r="AB174" s="1" t="e">
        <f t="shared" ca="1" si="56"/>
        <v>#VALUE!</v>
      </c>
      <c r="AC174" s="37" t="e">
        <f t="shared" ca="1" si="57"/>
        <v>#VALUE!</v>
      </c>
    </row>
    <row r="175" spans="7:29" x14ac:dyDescent="0.35">
      <c r="G175">
        <v>780</v>
      </c>
      <c r="H175">
        <f>'1a. Spredningsmodell input'!$I$2+G175</f>
        <v>780</v>
      </c>
      <c r="I175" t="e">
        <f t="shared" ca="1" si="41"/>
        <v>#VALUE!</v>
      </c>
      <c r="J175" t="e">
        <f t="shared" ca="1" si="42"/>
        <v>#VALUE!</v>
      </c>
      <c r="K175" t="e">
        <f t="shared" ca="1" si="43"/>
        <v>#VALUE!</v>
      </c>
      <c r="L175" t="e">
        <f t="shared" ca="1" si="58"/>
        <v>#VALUE!</v>
      </c>
      <c r="M175" t="e">
        <f t="shared" ca="1" si="44"/>
        <v>#VALUE!</v>
      </c>
      <c r="N175" s="22" t="e">
        <f t="shared" ca="1" si="45"/>
        <v>#VALUE!</v>
      </c>
      <c r="O175" t="e">
        <f t="shared" ca="1" si="46"/>
        <v>#VALUE!</v>
      </c>
      <c r="P175" s="31" t="e">
        <f t="shared" ca="1" si="47"/>
        <v>#VALUE!</v>
      </c>
      <c r="Q175" s="31" t="e">
        <f t="shared" ca="1" si="48"/>
        <v>#VALUE!</v>
      </c>
      <c r="R175" s="31" t="e">
        <f t="shared" ca="1" si="49"/>
        <v>#VALUE!</v>
      </c>
      <c r="S175" s="10" t="e">
        <f t="shared" ca="1" si="50"/>
        <v>#VALUE!</v>
      </c>
      <c r="T175" s="10" t="e">
        <f t="shared" ca="1" si="51"/>
        <v>#VALUE!</v>
      </c>
      <c r="U175" s="45" t="e">
        <f t="shared" ca="1" si="52"/>
        <v>#VALUE!</v>
      </c>
      <c r="V175" s="180" t="e">
        <f ca="1">Q175*1000000000/($B$22*'1a. Spredningsmodell input'!$C$26*1000)</f>
        <v>#VALUE!</v>
      </c>
      <c r="W175" s="44" t="e">
        <f t="shared" ca="1" si="53"/>
        <v>#VALUE!</v>
      </c>
      <c r="X175" s="167" t="e">
        <f t="shared" ca="1" si="54"/>
        <v>#VALUE!</v>
      </c>
      <c r="Y175" s="102" t="e">
        <f ca="1">(U175/1000000)*('1a. Spredningsmodell input'!$B$49)*'1a. Spredningsmodell input'!$C$35</f>
        <v>#VALUE!</v>
      </c>
      <c r="Z175" s="37" t="e">
        <f ca="1">(V175/1000000)*('1a. Spredningsmodell input'!$B$49)*'1a. Spredningsmodell input'!$C$35</f>
        <v>#VALUE!</v>
      </c>
      <c r="AA175" s="37" t="e">
        <f t="shared" ca="1" si="55"/>
        <v>#VALUE!</v>
      </c>
      <c r="AB175" s="1" t="e">
        <f t="shared" ca="1" si="56"/>
        <v>#VALUE!</v>
      </c>
      <c r="AC175" s="37" t="e">
        <f t="shared" ca="1" si="57"/>
        <v>#VALUE!</v>
      </c>
    </row>
    <row r="176" spans="7:29" x14ac:dyDescent="0.35">
      <c r="G176">
        <v>785</v>
      </c>
      <c r="H176">
        <f>'1a. Spredningsmodell input'!$I$2+G176</f>
        <v>785</v>
      </c>
      <c r="I176" t="e">
        <f t="shared" ca="1" si="41"/>
        <v>#VALUE!</v>
      </c>
      <c r="J176" t="e">
        <f t="shared" ca="1" si="42"/>
        <v>#VALUE!</v>
      </c>
      <c r="K176" t="e">
        <f t="shared" ca="1" si="43"/>
        <v>#VALUE!</v>
      </c>
      <c r="L176" t="e">
        <f t="shared" ca="1" si="58"/>
        <v>#VALUE!</v>
      </c>
      <c r="M176" t="e">
        <f t="shared" ca="1" si="44"/>
        <v>#VALUE!</v>
      </c>
      <c r="N176" s="22" t="e">
        <f t="shared" ca="1" si="45"/>
        <v>#VALUE!</v>
      </c>
      <c r="O176" t="e">
        <f t="shared" ca="1" si="46"/>
        <v>#VALUE!</v>
      </c>
      <c r="P176" s="31" t="e">
        <f t="shared" ca="1" si="47"/>
        <v>#VALUE!</v>
      </c>
      <c r="Q176" s="31" t="e">
        <f t="shared" ca="1" si="48"/>
        <v>#VALUE!</v>
      </c>
      <c r="R176" s="31" t="e">
        <f t="shared" ca="1" si="49"/>
        <v>#VALUE!</v>
      </c>
      <c r="S176" s="10" t="e">
        <f t="shared" ca="1" si="50"/>
        <v>#VALUE!</v>
      </c>
      <c r="T176" s="10" t="e">
        <f t="shared" ca="1" si="51"/>
        <v>#VALUE!</v>
      </c>
      <c r="U176" s="45" t="e">
        <f t="shared" ca="1" si="52"/>
        <v>#VALUE!</v>
      </c>
      <c r="V176" s="180" t="e">
        <f ca="1">Q176*1000000000/($B$22*'1a. Spredningsmodell input'!$C$26*1000)</f>
        <v>#VALUE!</v>
      </c>
      <c r="W176" s="44" t="e">
        <f t="shared" ca="1" si="53"/>
        <v>#VALUE!</v>
      </c>
      <c r="X176" s="167" t="e">
        <f t="shared" ca="1" si="54"/>
        <v>#VALUE!</v>
      </c>
      <c r="Y176" s="102" t="e">
        <f ca="1">(U176/1000000)*('1a. Spredningsmodell input'!$B$49)*'1a. Spredningsmodell input'!$C$35</f>
        <v>#VALUE!</v>
      </c>
      <c r="Z176" s="37" t="e">
        <f ca="1">(V176/1000000)*('1a. Spredningsmodell input'!$B$49)*'1a. Spredningsmodell input'!$C$35</f>
        <v>#VALUE!</v>
      </c>
      <c r="AA176" s="37" t="e">
        <f t="shared" ca="1" si="55"/>
        <v>#VALUE!</v>
      </c>
      <c r="AB176" s="1" t="e">
        <f t="shared" ca="1" si="56"/>
        <v>#VALUE!</v>
      </c>
      <c r="AC176" s="37" t="e">
        <f t="shared" ca="1" si="57"/>
        <v>#VALUE!</v>
      </c>
    </row>
    <row r="177" spans="7:29" x14ac:dyDescent="0.35">
      <c r="G177">
        <v>790</v>
      </c>
      <c r="H177">
        <f>'1a. Spredningsmodell input'!$I$2+G177</f>
        <v>790</v>
      </c>
      <c r="I177" t="e">
        <f t="shared" ca="1" si="41"/>
        <v>#VALUE!</v>
      </c>
      <c r="J177" t="e">
        <f t="shared" ca="1" si="42"/>
        <v>#VALUE!</v>
      </c>
      <c r="K177" t="e">
        <f t="shared" ca="1" si="43"/>
        <v>#VALUE!</v>
      </c>
      <c r="L177" t="e">
        <f t="shared" ca="1" si="58"/>
        <v>#VALUE!</v>
      </c>
      <c r="M177" t="e">
        <f t="shared" ca="1" si="44"/>
        <v>#VALUE!</v>
      </c>
      <c r="N177" s="22" t="e">
        <f t="shared" ca="1" si="45"/>
        <v>#VALUE!</v>
      </c>
      <c r="O177" t="e">
        <f t="shared" ca="1" si="46"/>
        <v>#VALUE!</v>
      </c>
      <c r="P177" s="31" t="e">
        <f t="shared" ca="1" si="47"/>
        <v>#VALUE!</v>
      </c>
      <c r="Q177" s="31" t="e">
        <f t="shared" ca="1" si="48"/>
        <v>#VALUE!</v>
      </c>
      <c r="R177" s="31" t="e">
        <f t="shared" ca="1" si="49"/>
        <v>#VALUE!</v>
      </c>
      <c r="S177" s="10" t="e">
        <f t="shared" ca="1" si="50"/>
        <v>#VALUE!</v>
      </c>
      <c r="T177" s="10" t="e">
        <f t="shared" ca="1" si="51"/>
        <v>#VALUE!</v>
      </c>
      <c r="U177" s="45" t="e">
        <f t="shared" ca="1" si="52"/>
        <v>#VALUE!</v>
      </c>
      <c r="V177" s="180" t="e">
        <f ca="1">Q177*1000000000/($B$22*'1a. Spredningsmodell input'!$C$26*1000)</f>
        <v>#VALUE!</v>
      </c>
      <c r="W177" s="44" t="e">
        <f t="shared" ca="1" si="53"/>
        <v>#VALUE!</v>
      </c>
      <c r="X177" s="167" t="e">
        <f t="shared" ca="1" si="54"/>
        <v>#VALUE!</v>
      </c>
      <c r="Y177" s="102" t="e">
        <f ca="1">(U177/1000000)*('1a. Spredningsmodell input'!$B$49)*'1a. Spredningsmodell input'!$C$35</f>
        <v>#VALUE!</v>
      </c>
      <c r="Z177" s="37" t="e">
        <f ca="1">(V177/1000000)*('1a. Spredningsmodell input'!$B$49)*'1a. Spredningsmodell input'!$C$35</f>
        <v>#VALUE!</v>
      </c>
      <c r="AA177" s="37" t="e">
        <f t="shared" ca="1" si="55"/>
        <v>#VALUE!</v>
      </c>
      <c r="AB177" s="1" t="e">
        <f t="shared" ca="1" si="56"/>
        <v>#VALUE!</v>
      </c>
      <c r="AC177" s="37" t="e">
        <f t="shared" ca="1" si="57"/>
        <v>#VALUE!</v>
      </c>
    </row>
    <row r="178" spans="7:29" x14ac:dyDescent="0.35">
      <c r="G178">
        <v>795</v>
      </c>
      <c r="H178">
        <f>'1a. Spredningsmodell input'!$I$2+G178</f>
        <v>795</v>
      </c>
      <c r="I178" t="e">
        <f t="shared" ca="1" si="41"/>
        <v>#VALUE!</v>
      </c>
      <c r="J178" t="e">
        <f t="shared" ca="1" si="42"/>
        <v>#VALUE!</v>
      </c>
      <c r="K178" t="e">
        <f t="shared" ca="1" si="43"/>
        <v>#VALUE!</v>
      </c>
      <c r="L178" t="e">
        <f t="shared" ca="1" si="58"/>
        <v>#VALUE!</v>
      </c>
      <c r="M178" t="e">
        <f t="shared" ca="1" si="44"/>
        <v>#VALUE!</v>
      </c>
      <c r="N178" s="22" t="e">
        <f t="shared" ca="1" si="45"/>
        <v>#VALUE!</v>
      </c>
      <c r="O178" t="e">
        <f t="shared" ca="1" si="46"/>
        <v>#VALUE!</v>
      </c>
      <c r="P178" s="18" t="e">
        <f t="shared" ca="1" si="47"/>
        <v>#VALUE!</v>
      </c>
      <c r="Q178" s="18" t="e">
        <f t="shared" ca="1" si="48"/>
        <v>#VALUE!</v>
      </c>
      <c r="R178" s="19" t="e">
        <f t="shared" ca="1" si="49"/>
        <v>#VALUE!</v>
      </c>
      <c r="S178" s="10" t="e">
        <f t="shared" ca="1" si="50"/>
        <v>#VALUE!</v>
      </c>
      <c r="T178" s="10" t="e">
        <f t="shared" ca="1" si="51"/>
        <v>#VALUE!</v>
      </c>
      <c r="U178" s="45" t="e">
        <f t="shared" ca="1" si="52"/>
        <v>#VALUE!</v>
      </c>
      <c r="V178" s="180" t="e">
        <f ca="1">Q178*1000000000/($B$22*'1a. Spredningsmodell input'!$C$26*1000)</f>
        <v>#VALUE!</v>
      </c>
      <c r="W178" s="44" t="e">
        <f t="shared" ca="1" si="53"/>
        <v>#VALUE!</v>
      </c>
      <c r="X178" s="167" t="e">
        <f t="shared" ca="1" si="54"/>
        <v>#VALUE!</v>
      </c>
      <c r="Y178" s="102" t="e">
        <f ca="1">(U178/1000000)*('1a. Spredningsmodell input'!$B$49)*'1a. Spredningsmodell input'!$C$35</f>
        <v>#VALUE!</v>
      </c>
      <c r="Z178" s="37" t="e">
        <f ca="1">(V178/1000000)*('1a. Spredningsmodell input'!$B$49)*'1a. Spredningsmodell input'!$C$35</f>
        <v>#VALUE!</v>
      </c>
      <c r="AA178" s="37" t="e">
        <f t="shared" ca="1" si="55"/>
        <v>#VALUE!</v>
      </c>
      <c r="AB178" s="1" t="e">
        <f t="shared" ca="1" si="56"/>
        <v>#VALUE!</v>
      </c>
      <c r="AC178" s="37" t="e">
        <f t="shared" ca="1" si="57"/>
        <v>#VALUE!</v>
      </c>
    </row>
    <row r="179" spans="7:29" x14ac:dyDescent="0.35">
      <c r="G179">
        <v>800</v>
      </c>
      <c r="H179">
        <f>'1a. Spredningsmodell input'!$I$2+G179</f>
        <v>800</v>
      </c>
      <c r="I179" t="e">
        <f t="shared" ca="1" si="41"/>
        <v>#VALUE!</v>
      </c>
      <c r="J179" t="e">
        <f t="shared" ca="1" si="42"/>
        <v>#VALUE!</v>
      </c>
      <c r="K179" t="e">
        <f t="shared" ca="1" si="43"/>
        <v>#VALUE!</v>
      </c>
      <c r="L179" t="e">
        <f t="shared" ca="1" si="58"/>
        <v>#VALUE!</v>
      </c>
      <c r="M179" t="e">
        <f t="shared" ca="1" si="44"/>
        <v>#VALUE!</v>
      </c>
      <c r="N179" s="22" t="e">
        <f t="shared" ca="1" si="45"/>
        <v>#VALUE!</v>
      </c>
      <c r="O179" t="e">
        <f t="shared" ca="1" si="46"/>
        <v>#VALUE!</v>
      </c>
      <c r="P179" s="31" t="e">
        <f t="shared" ca="1" si="47"/>
        <v>#VALUE!</v>
      </c>
      <c r="Q179" s="31" t="e">
        <f t="shared" ca="1" si="48"/>
        <v>#VALUE!</v>
      </c>
      <c r="R179" s="31" t="e">
        <f t="shared" ca="1" si="49"/>
        <v>#VALUE!</v>
      </c>
      <c r="S179" s="10" t="e">
        <f t="shared" ca="1" si="50"/>
        <v>#VALUE!</v>
      </c>
      <c r="T179" s="10" t="e">
        <f t="shared" ca="1" si="51"/>
        <v>#VALUE!</v>
      </c>
      <c r="U179" s="45" t="e">
        <f t="shared" ca="1" si="52"/>
        <v>#VALUE!</v>
      </c>
      <c r="V179" s="180" t="e">
        <f ca="1">Q179*1000000000/($B$22*'1a. Spredningsmodell input'!$C$26*1000)</f>
        <v>#VALUE!</v>
      </c>
      <c r="W179" s="44" t="e">
        <f t="shared" ca="1" si="53"/>
        <v>#VALUE!</v>
      </c>
      <c r="X179" s="167" t="e">
        <f t="shared" ca="1" si="54"/>
        <v>#VALUE!</v>
      </c>
      <c r="Y179" s="102" t="e">
        <f ca="1">(U179/1000000)*('1a. Spredningsmodell input'!$B$49)*'1a. Spredningsmodell input'!$C$35</f>
        <v>#VALUE!</v>
      </c>
      <c r="Z179" s="37" t="e">
        <f ca="1">(V179/1000000)*('1a. Spredningsmodell input'!$B$49)*'1a. Spredningsmodell input'!$C$35</f>
        <v>#VALUE!</v>
      </c>
      <c r="AA179" s="37" t="e">
        <f t="shared" ca="1" si="55"/>
        <v>#VALUE!</v>
      </c>
      <c r="AB179" s="1" t="e">
        <f t="shared" ca="1" si="56"/>
        <v>#VALUE!</v>
      </c>
      <c r="AC179" s="37" t="e">
        <f t="shared" ca="1" si="57"/>
        <v>#VALUE!</v>
      </c>
    </row>
    <row r="180" spans="7:29" x14ac:dyDescent="0.35">
      <c r="G180">
        <v>805</v>
      </c>
      <c r="H180">
        <f>'1a. Spredningsmodell input'!$I$2+G180</f>
        <v>805</v>
      </c>
      <c r="I180" t="e">
        <f t="shared" ca="1" si="41"/>
        <v>#VALUE!</v>
      </c>
      <c r="J180" t="e">
        <f t="shared" ca="1" si="42"/>
        <v>#VALUE!</v>
      </c>
      <c r="K180" t="e">
        <f t="shared" ca="1" si="43"/>
        <v>#VALUE!</v>
      </c>
      <c r="L180" t="e">
        <f t="shared" ca="1" si="58"/>
        <v>#VALUE!</v>
      </c>
      <c r="M180" t="e">
        <f t="shared" ca="1" si="44"/>
        <v>#VALUE!</v>
      </c>
      <c r="N180" s="22" t="e">
        <f t="shared" ca="1" si="45"/>
        <v>#VALUE!</v>
      </c>
      <c r="O180" t="e">
        <f t="shared" ca="1" si="46"/>
        <v>#VALUE!</v>
      </c>
      <c r="P180" s="31" t="e">
        <f t="shared" ca="1" si="47"/>
        <v>#VALUE!</v>
      </c>
      <c r="Q180" s="31" t="e">
        <f t="shared" ca="1" si="48"/>
        <v>#VALUE!</v>
      </c>
      <c r="R180" s="31" t="e">
        <f t="shared" ca="1" si="49"/>
        <v>#VALUE!</v>
      </c>
      <c r="S180" s="10" t="e">
        <f t="shared" ca="1" si="50"/>
        <v>#VALUE!</v>
      </c>
      <c r="T180" s="10" t="e">
        <f t="shared" ca="1" si="51"/>
        <v>#VALUE!</v>
      </c>
      <c r="U180" s="45" t="e">
        <f t="shared" ca="1" si="52"/>
        <v>#VALUE!</v>
      </c>
      <c r="V180" s="180" t="e">
        <f ca="1">Q180*1000000000/($B$22*'1a. Spredningsmodell input'!$C$26*1000)</f>
        <v>#VALUE!</v>
      </c>
      <c r="W180" s="44" t="e">
        <f t="shared" ca="1" si="53"/>
        <v>#VALUE!</v>
      </c>
      <c r="X180" s="167" t="e">
        <f t="shared" ca="1" si="54"/>
        <v>#VALUE!</v>
      </c>
      <c r="Y180" s="102" t="e">
        <f ca="1">(U180/1000000)*('1a. Spredningsmodell input'!$B$49)*'1a. Spredningsmodell input'!$C$35</f>
        <v>#VALUE!</v>
      </c>
      <c r="Z180" s="37" t="e">
        <f ca="1">(V180/1000000)*('1a. Spredningsmodell input'!$B$49)*'1a. Spredningsmodell input'!$C$35</f>
        <v>#VALUE!</v>
      </c>
      <c r="AA180" s="37" t="e">
        <f t="shared" ca="1" si="55"/>
        <v>#VALUE!</v>
      </c>
      <c r="AB180" s="1" t="e">
        <f t="shared" ca="1" si="56"/>
        <v>#VALUE!</v>
      </c>
      <c r="AC180" s="37" t="e">
        <f t="shared" ca="1" si="57"/>
        <v>#VALUE!</v>
      </c>
    </row>
    <row r="181" spans="7:29" x14ac:dyDescent="0.35">
      <c r="G181">
        <v>810</v>
      </c>
      <c r="H181">
        <f>'1a. Spredningsmodell input'!$I$2+G181</f>
        <v>810</v>
      </c>
      <c r="I181" t="e">
        <f t="shared" ca="1" si="41"/>
        <v>#VALUE!</v>
      </c>
      <c r="J181" t="e">
        <f t="shared" ca="1" si="42"/>
        <v>#VALUE!</v>
      </c>
      <c r="K181" t="e">
        <f t="shared" ca="1" si="43"/>
        <v>#VALUE!</v>
      </c>
      <c r="L181" t="e">
        <f t="shared" ca="1" si="58"/>
        <v>#VALUE!</v>
      </c>
      <c r="M181" t="e">
        <f t="shared" ca="1" si="44"/>
        <v>#VALUE!</v>
      </c>
      <c r="N181" s="22" t="e">
        <f t="shared" ca="1" si="45"/>
        <v>#VALUE!</v>
      </c>
      <c r="O181" t="e">
        <f t="shared" ca="1" si="46"/>
        <v>#VALUE!</v>
      </c>
      <c r="P181" s="31" t="e">
        <f t="shared" ca="1" si="47"/>
        <v>#VALUE!</v>
      </c>
      <c r="Q181" s="31" t="e">
        <f t="shared" ca="1" si="48"/>
        <v>#VALUE!</v>
      </c>
      <c r="R181" s="31" t="e">
        <f t="shared" ca="1" si="49"/>
        <v>#VALUE!</v>
      </c>
      <c r="S181" s="10" t="e">
        <f t="shared" ca="1" si="50"/>
        <v>#VALUE!</v>
      </c>
      <c r="T181" s="10" t="e">
        <f t="shared" ca="1" si="51"/>
        <v>#VALUE!</v>
      </c>
      <c r="U181" s="45" t="e">
        <f t="shared" ca="1" si="52"/>
        <v>#VALUE!</v>
      </c>
      <c r="V181" s="180" t="e">
        <f ca="1">Q181*1000000000/($B$22*'1a. Spredningsmodell input'!$C$26*1000)</f>
        <v>#VALUE!</v>
      </c>
      <c r="W181" s="44" t="e">
        <f t="shared" ca="1" si="53"/>
        <v>#VALUE!</v>
      </c>
      <c r="X181" s="167" t="e">
        <f t="shared" ca="1" si="54"/>
        <v>#VALUE!</v>
      </c>
      <c r="Y181" s="102" t="e">
        <f ca="1">(U181/1000000)*('1a. Spredningsmodell input'!$B$49)*'1a. Spredningsmodell input'!$C$35</f>
        <v>#VALUE!</v>
      </c>
      <c r="Z181" s="37" t="e">
        <f ca="1">(V181/1000000)*('1a. Spredningsmodell input'!$B$49)*'1a. Spredningsmodell input'!$C$35</f>
        <v>#VALUE!</v>
      </c>
      <c r="AA181" s="37" t="e">
        <f t="shared" ca="1" si="55"/>
        <v>#VALUE!</v>
      </c>
      <c r="AB181" s="1" t="e">
        <f t="shared" ca="1" si="56"/>
        <v>#VALUE!</v>
      </c>
      <c r="AC181" s="37" t="e">
        <f t="shared" ca="1" si="57"/>
        <v>#VALUE!</v>
      </c>
    </row>
    <row r="182" spans="7:29" x14ac:dyDescent="0.35">
      <c r="G182">
        <v>815</v>
      </c>
      <c r="H182">
        <f>'1a. Spredningsmodell input'!$I$2+G182</f>
        <v>815</v>
      </c>
      <c r="I182" t="e">
        <f t="shared" ca="1" si="41"/>
        <v>#VALUE!</v>
      </c>
      <c r="J182" t="e">
        <f t="shared" ca="1" si="42"/>
        <v>#VALUE!</v>
      </c>
      <c r="K182" t="e">
        <f t="shared" ca="1" si="43"/>
        <v>#VALUE!</v>
      </c>
      <c r="L182" t="e">
        <f t="shared" ca="1" si="58"/>
        <v>#VALUE!</v>
      </c>
      <c r="M182" t="e">
        <f t="shared" ca="1" si="44"/>
        <v>#VALUE!</v>
      </c>
      <c r="N182" s="22" t="e">
        <f t="shared" ca="1" si="45"/>
        <v>#VALUE!</v>
      </c>
      <c r="O182" t="e">
        <f t="shared" ca="1" si="46"/>
        <v>#VALUE!</v>
      </c>
      <c r="P182" s="18" t="e">
        <f t="shared" ca="1" si="47"/>
        <v>#VALUE!</v>
      </c>
      <c r="Q182" s="18" t="e">
        <f t="shared" ca="1" si="48"/>
        <v>#VALUE!</v>
      </c>
      <c r="R182" s="19" t="e">
        <f t="shared" ca="1" si="49"/>
        <v>#VALUE!</v>
      </c>
      <c r="S182" s="10" t="e">
        <f t="shared" ca="1" si="50"/>
        <v>#VALUE!</v>
      </c>
      <c r="T182" s="10" t="e">
        <f t="shared" ca="1" si="51"/>
        <v>#VALUE!</v>
      </c>
      <c r="U182" s="45" t="e">
        <f t="shared" ca="1" si="52"/>
        <v>#VALUE!</v>
      </c>
      <c r="V182" s="180" t="e">
        <f ca="1">Q182*1000000000/($B$22*'1a. Spredningsmodell input'!$C$26*1000)</f>
        <v>#VALUE!</v>
      </c>
      <c r="W182" s="44" t="e">
        <f t="shared" ca="1" si="53"/>
        <v>#VALUE!</v>
      </c>
      <c r="X182" s="167" t="e">
        <f t="shared" ca="1" si="54"/>
        <v>#VALUE!</v>
      </c>
      <c r="Y182" s="102" t="e">
        <f ca="1">(U182/1000000)*('1a. Spredningsmodell input'!$B$49)*'1a. Spredningsmodell input'!$C$35</f>
        <v>#VALUE!</v>
      </c>
      <c r="Z182" s="37" t="e">
        <f ca="1">(V182/1000000)*('1a. Spredningsmodell input'!$B$49)*'1a. Spredningsmodell input'!$C$35</f>
        <v>#VALUE!</v>
      </c>
      <c r="AA182" s="37" t="e">
        <f t="shared" ca="1" si="55"/>
        <v>#VALUE!</v>
      </c>
      <c r="AB182" s="1" t="e">
        <f t="shared" ca="1" si="56"/>
        <v>#VALUE!</v>
      </c>
      <c r="AC182" s="37" t="e">
        <f t="shared" ca="1" si="57"/>
        <v>#VALUE!</v>
      </c>
    </row>
    <row r="183" spans="7:29" x14ac:dyDescent="0.35">
      <c r="G183">
        <v>820</v>
      </c>
      <c r="H183">
        <f>'1a. Spredningsmodell input'!$I$2+G183</f>
        <v>820</v>
      </c>
      <c r="I183" t="e">
        <f t="shared" ca="1" si="41"/>
        <v>#VALUE!</v>
      </c>
      <c r="J183" t="e">
        <f t="shared" ca="1" si="42"/>
        <v>#VALUE!</v>
      </c>
      <c r="K183" t="e">
        <f t="shared" ca="1" si="43"/>
        <v>#VALUE!</v>
      </c>
      <c r="L183" t="e">
        <f t="shared" ca="1" si="58"/>
        <v>#VALUE!</v>
      </c>
      <c r="M183" t="e">
        <f t="shared" ca="1" si="44"/>
        <v>#VALUE!</v>
      </c>
      <c r="N183" s="22" t="e">
        <f t="shared" ca="1" si="45"/>
        <v>#VALUE!</v>
      </c>
      <c r="O183" t="e">
        <f t="shared" ca="1" si="46"/>
        <v>#VALUE!</v>
      </c>
      <c r="P183" s="31" t="e">
        <f t="shared" ca="1" si="47"/>
        <v>#VALUE!</v>
      </c>
      <c r="Q183" s="31" t="e">
        <f t="shared" ca="1" si="48"/>
        <v>#VALUE!</v>
      </c>
      <c r="R183" s="31" t="e">
        <f t="shared" ca="1" si="49"/>
        <v>#VALUE!</v>
      </c>
      <c r="S183" s="10" t="e">
        <f t="shared" ca="1" si="50"/>
        <v>#VALUE!</v>
      </c>
      <c r="T183" s="10" t="e">
        <f t="shared" ca="1" si="51"/>
        <v>#VALUE!</v>
      </c>
      <c r="U183" s="45" t="e">
        <f t="shared" ca="1" si="52"/>
        <v>#VALUE!</v>
      </c>
      <c r="V183" s="180" t="e">
        <f ca="1">Q183*1000000000/($B$22*'1a. Spredningsmodell input'!$C$26*1000)</f>
        <v>#VALUE!</v>
      </c>
      <c r="W183" s="44" t="e">
        <f t="shared" ca="1" si="53"/>
        <v>#VALUE!</v>
      </c>
      <c r="X183" s="167" t="e">
        <f t="shared" ca="1" si="54"/>
        <v>#VALUE!</v>
      </c>
      <c r="Y183" s="102" t="e">
        <f ca="1">(U183/1000000)*('1a. Spredningsmodell input'!$B$49)*'1a. Spredningsmodell input'!$C$35</f>
        <v>#VALUE!</v>
      </c>
      <c r="Z183" s="37" t="e">
        <f ca="1">(V183/1000000)*('1a. Spredningsmodell input'!$B$49)*'1a. Spredningsmodell input'!$C$35</f>
        <v>#VALUE!</v>
      </c>
      <c r="AA183" s="37" t="e">
        <f t="shared" ca="1" si="55"/>
        <v>#VALUE!</v>
      </c>
      <c r="AB183" s="1" t="e">
        <f t="shared" ca="1" si="56"/>
        <v>#VALUE!</v>
      </c>
      <c r="AC183" s="37" t="e">
        <f t="shared" ca="1" si="57"/>
        <v>#VALUE!</v>
      </c>
    </row>
    <row r="184" spans="7:29" x14ac:dyDescent="0.35">
      <c r="G184">
        <v>825</v>
      </c>
      <c r="H184">
        <f>'1a. Spredningsmodell input'!$I$2+G184</f>
        <v>825</v>
      </c>
      <c r="I184" t="e">
        <f t="shared" ca="1" si="41"/>
        <v>#VALUE!</v>
      </c>
      <c r="J184" t="e">
        <f t="shared" ca="1" si="42"/>
        <v>#VALUE!</v>
      </c>
      <c r="K184" t="e">
        <f t="shared" ca="1" si="43"/>
        <v>#VALUE!</v>
      </c>
      <c r="L184" t="e">
        <f t="shared" ca="1" si="58"/>
        <v>#VALUE!</v>
      </c>
      <c r="M184" t="e">
        <f t="shared" ca="1" si="44"/>
        <v>#VALUE!</v>
      </c>
      <c r="N184" s="22" t="e">
        <f t="shared" ca="1" si="45"/>
        <v>#VALUE!</v>
      </c>
      <c r="O184" t="e">
        <f t="shared" ca="1" si="46"/>
        <v>#VALUE!</v>
      </c>
      <c r="P184" s="31" t="e">
        <f t="shared" ca="1" si="47"/>
        <v>#VALUE!</v>
      </c>
      <c r="Q184" s="31" t="e">
        <f t="shared" ca="1" si="48"/>
        <v>#VALUE!</v>
      </c>
      <c r="R184" s="31" t="e">
        <f t="shared" ca="1" si="49"/>
        <v>#VALUE!</v>
      </c>
      <c r="S184" s="10" t="e">
        <f t="shared" ca="1" si="50"/>
        <v>#VALUE!</v>
      </c>
      <c r="T184" s="10" t="e">
        <f t="shared" ca="1" si="51"/>
        <v>#VALUE!</v>
      </c>
      <c r="U184" s="45" t="e">
        <f t="shared" ca="1" si="52"/>
        <v>#VALUE!</v>
      </c>
      <c r="V184" s="180" t="e">
        <f ca="1">Q184*1000000000/($B$22*'1a. Spredningsmodell input'!$C$26*1000)</f>
        <v>#VALUE!</v>
      </c>
      <c r="W184" s="44" t="e">
        <f t="shared" ca="1" si="53"/>
        <v>#VALUE!</v>
      </c>
      <c r="X184" s="167" t="e">
        <f t="shared" ca="1" si="54"/>
        <v>#VALUE!</v>
      </c>
      <c r="Y184" s="102" t="e">
        <f ca="1">(U184/1000000)*('1a. Spredningsmodell input'!$B$49)*'1a. Spredningsmodell input'!$C$35</f>
        <v>#VALUE!</v>
      </c>
      <c r="Z184" s="37" t="e">
        <f ca="1">(V184/1000000)*('1a. Spredningsmodell input'!$B$49)*'1a. Spredningsmodell input'!$C$35</f>
        <v>#VALUE!</v>
      </c>
      <c r="AA184" s="37" t="e">
        <f t="shared" ca="1" si="55"/>
        <v>#VALUE!</v>
      </c>
      <c r="AB184" s="1" t="e">
        <f t="shared" ca="1" si="56"/>
        <v>#VALUE!</v>
      </c>
      <c r="AC184" s="37" t="e">
        <f t="shared" ca="1" si="57"/>
        <v>#VALUE!</v>
      </c>
    </row>
    <row r="185" spans="7:29" x14ac:dyDescent="0.35">
      <c r="G185">
        <v>830</v>
      </c>
      <c r="H185">
        <f>'1a. Spredningsmodell input'!$I$2+G185</f>
        <v>830</v>
      </c>
      <c r="I185" t="e">
        <f t="shared" ca="1" si="41"/>
        <v>#VALUE!</v>
      </c>
      <c r="J185" t="e">
        <f t="shared" ca="1" si="42"/>
        <v>#VALUE!</v>
      </c>
      <c r="K185" t="e">
        <f t="shared" ca="1" si="43"/>
        <v>#VALUE!</v>
      </c>
      <c r="L185" t="e">
        <f t="shared" ca="1" si="58"/>
        <v>#VALUE!</v>
      </c>
      <c r="M185" t="e">
        <f t="shared" ca="1" si="44"/>
        <v>#VALUE!</v>
      </c>
      <c r="N185" s="22" t="e">
        <f t="shared" ca="1" si="45"/>
        <v>#VALUE!</v>
      </c>
      <c r="O185" t="e">
        <f t="shared" ca="1" si="46"/>
        <v>#VALUE!</v>
      </c>
      <c r="P185" s="31" t="e">
        <f t="shared" ca="1" si="47"/>
        <v>#VALUE!</v>
      </c>
      <c r="Q185" s="31" t="e">
        <f t="shared" ca="1" si="48"/>
        <v>#VALUE!</v>
      </c>
      <c r="R185" s="31" t="e">
        <f t="shared" ca="1" si="49"/>
        <v>#VALUE!</v>
      </c>
      <c r="S185" s="10" t="e">
        <f t="shared" ca="1" si="50"/>
        <v>#VALUE!</v>
      </c>
      <c r="T185" s="10" t="e">
        <f t="shared" ca="1" si="51"/>
        <v>#VALUE!</v>
      </c>
      <c r="U185" s="45" t="e">
        <f t="shared" ca="1" si="52"/>
        <v>#VALUE!</v>
      </c>
      <c r="V185" s="180" t="e">
        <f ca="1">Q185*1000000000/($B$22*'1a. Spredningsmodell input'!$C$26*1000)</f>
        <v>#VALUE!</v>
      </c>
      <c r="W185" s="44" t="e">
        <f t="shared" ca="1" si="53"/>
        <v>#VALUE!</v>
      </c>
      <c r="X185" s="167" t="e">
        <f t="shared" ca="1" si="54"/>
        <v>#VALUE!</v>
      </c>
      <c r="Y185" s="102" t="e">
        <f ca="1">(U185/1000000)*('1a. Spredningsmodell input'!$B$49)*'1a. Spredningsmodell input'!$C$35</f>
        <v>#VALUE!</v>
      </c>
      <c r="Z185" s="37" t="e">
        <f ca="1">(V185/1000000)*('1a. Spredningsmodell input'!$B$49)*'1a. Spredningsmodell input'!$C$35</f>
        <v>#VALUE!</v>
      </c>
      <c r="AA185" s="37" t="e">
        <f t="shared" ca="1" si="55"/>
        <v>#VALUE!</v>
      </c>
      <c r="AB185" s="1" t="e">
        <f t="shared" ca="1" si="56"/>
        <v>#VALUE!</v>
      </c>
      <c r="AC185" s="37" t="e">
        <f t="shared" ca="1" si="57"/>
        <v>#VALUE!</v>
      </c>
    </row>
    <row r="186" spans="7:29" x14ac:dyDescent="0.35">
      <c r="G186">
        <v>835</v>
      </c>
      <c r="H186">
        <f>'1a. Spredningsmodell input'!$I$2+G186</f>
        <v>835</v>
      </c>
      <c r="I186" t="e">
        <f t="shared" ca="1" si="41"/>
        <v>#VALUE!</v>
      </c>
      <c r="J186" t="e">
        <f t="shared" ca="1" si="42"/>
        <v>#VALUE!</v>
      </c>
      <c r="K186" t="e">
        <f t="shared" ca="1" si="43"/>
        <v>#VALUE!</v>
      </c>
      <c r="L186" t="e">
        <f t="shared" ca="1" si="58"/>
        <v>#VALUE!</v>
      </c>
      <c r="M186" t="e">
        <f t="shared" ca="1" si="44"/>
        <v>#VALUE!</v>
      </c>
      <c r="N186" s="22" t="e">
        <f t="shared" ca="1" si="45"/>
        <v>#VALUE!</v>
      </c>
      <c r="O186" t="e">
        <f t="shared" ca="1" si="46"/>
        <v>#VALUE!</v>
      </c>
      <c r="P186" s="18" t="e">
        <f t="shared" ca="1" si="47"/>
        <v>#VALUE!</v>
      </c>
      <c r="Q186" s="18" t="e">
        <f t="shared" ca="1" si="48"/>
        <v>#VALUE!</v>
      </c>
      <c r="R186" s="19" t="e">
        <f t="shared" ca="1" si="49"/>
        <v>#VALUE!</v>
      </c>
      <c r="S186" s="10" t="e">
        <f t="shared" ca="1" si="50"/>
        <v>#VALUE!</v>
      </c>
      <c r="T186" s="10" t="e">
        <f t="shared" ca="1" si="51"/>
        <v>#VALUE!</v>
      </c>
      <c r="U186" s="45" t="e">
        <f t="shared" ca="1" si="52"/>
        <v>#VALUE!</v>
      </c>
      <c r="V186" s="180" t="e">
        <f ca="1">Q186*1000000000/($B$22*'1a. Spredningsmodell input'!$C$26*1000)</f>
        <v>#VALUE!</v>
      </c>
      <c r="W186" s="44" t="e">
        <f t="shared" ca="1" si="53"/>
        <v>#VALUE!</v>
      </c>
      <c r="X186" s="167" t="e">
        <f t="shared" ca="1" si="54"/>
        <v>#VALUE!</v>
      </c>
      <c r="Y186" s="102" t="e">
        <f ca="1">(U186/1000000)*('1a. Spredningsmodell input'!$B$49)*'1a. Spredningsmodell input'!$C$35</f>
        <v>#VALUE!</v>
      </c>
      <c r="Z186" s="37" t="e">
        <f ca="1">(V186/1000000)*('1a. Spredningsmodell input'!$B$49)*'1a. Spredningsmodell input'!$C$35</f>
        <v>#VALUE!</v>
      </c>
      <c r="AA186" s="37" t="e">
        <f t="shared" ca="1" si="55"/>
        <v>#VALUE!</v>
      </c>
      <c r="AB186" s="1" t="e">
        <f t="shared" ca="1" si="56"/>
        <v>#VALUE!</v>
      </c>
      <c r="AC186" s="37" t="e">
        <f t="shared" ca="1" si="57"/>
        <v>#VALUE!</v>
      </c>
    </row>
    <row r="187" spans="7:29" x14ac:dyDescent="0.35">
      <c r="G187">
        <v>840</v>
      </c>
      <c r="H187">
        <f>'1a. Spredningsmodell input'!$I$2+G187</f>
        <v>840</v>
      </c>
      <c r="I187" t="e">
        <f t="shared" ca="1" si="41"/>
        <v>#VALUE!</v>
      </c>
      <c r="J187" t="e">
        <f t="shared" ca="1" si="42"/>
        <v>#VALUE!</v>
      </c>
      <c r="K187" t="e">
        <f t="shared" ca="1" si="43"/>
        <v>#VALUE!</v>
      </c>
      <c r="L187" t="e">
        <f t="shared" ca="1" si="58"/>
        <v>#VALUE!</v>
      </c>
      <c r="M187" t="e">
        <f t="shared" ca="1" si="44"/>
        <v>#VALUE!</v>
      </c>
      <c r="N187" s="22" t="e">
        <f t="shared" ca="1" si="45"/>
        <v>#VALUE!</v>
      </c>
      <c r="O187" t="e">
        <f t="shared" ca="1" si="46"/>
        <v>#VALUE!</v>
      </c>
      <c r="P187" s="31" t="e">
        <f t="shared" ca="1" si="47"/>
        <v>#VALUE!</v>
      </c>
      <c r="Q187" s="31" t="e">
        <f t="shared" ca="1" si="48"/>
        <v>#VALUE!</v>
      </c>
      <c r="R187" s="31" t="e">
        <f t="shared" ca="1" si="49"/>
        <v>#VALUE!</v>
      </c>
      <c r="S187" s="10" t="e">
        <f t="shared" ca="1" si="50"/>
        <v>#VALUE!</v>
      </c>
      <c r="T187" s="10" t="e">
        <f t="shared" ca="1" si="51"/>
        <v>#VALUE!</v>
      </c>
      <c r="U187" s="45" t="e">
        <f t="shared" ca="1" si="52"/>
        <v>#VALUE!</v>
      </c>
      <c r="V187" s="180" t="e">
        <f ca="1">Q187*1000000000/($B$22*'1a. Spredningsmodell input'!$C$26*1000)</f>
        <v>#VALUE!</v>
      </c>
      <c r="W187" s="44" t="e">
        <f t="shared" ca="1" si="53"/>
        <v>#VALUE!</v>
      </c>
      <c r="X187" s="167" t="e">
        <f t="shared" ca="1" si="54"/>
        <v>#VALUE!</v>
      </c>
      <c r="Y187" s="102" t="e">
        <f ca="1">(U187/1000000)*('1a. Spredningsmodell input'!$B$49)*'1a. Spredningsmodell input'!$C$35</f>
        <v>#VALUE!</v>
      </c>
      <c r="Z187" s="37" t="e">
        <f ca="1">(V187/1000000)*('1a. Spredningsmodell input'!$B$49)*'1a. Spredningsmodell input'!$C$35</f>
        <v>#VALUE!</v>
      </c>
      <c r="AA187" s="37" t="e">
        <f t="shared" ca="1" si="55"/>
        <v>#VALUE!</v>
      </c>
      <c r="AB187" s="1" t="e">
        <f t="shared" ca="1" si="56"/>
        <v>#VALUE!</v>
      </c>
      <c r="AC187" s="37" t="e">
        <f t="shared" ca="1" si="57"/>
        <v>#VALUE!</v>
      </c>
    </row>
    <row r="188" spans="7:29" x14ac:dyDescent="0.35">
      <c r="G188">
        <v>845</v>
      </c>
      <c r="H188">
        <f>'1a. Spredningsmodell input'!$I$2+G188</f>
        <v>845</v>
      </c>
      <c r="I188" t="e">
        <f t="shared" ca="1" si="41"/>
        <v>#VALUE!</v>
      </c>
      <c r="J188" t="e">
        <f t="shared" ca="1" si="42"/>
        <v>#VALUE!</v>
      </c>
      <c r="K188" t="e">
        <f t="shared" ca="1" si="43"/>
        <v>#VALUE!</v>
      </c>
      <c r="L188" t="e">
        <f t="shared" ca="1" si="58"/>
        <v>#VALUE!</v>
      </c>
      <c r="M188" t="e">
        <f t="shared" ca="1" si="44"/>
        <v>#VALUE!</v>
      </c>
      <c r="N188" s="22" t="e">
        <f t="shared" ca="1" si="45"/>
        <v>#VALUE!</v>
      </c>
      <c r="O188" t="e">
        <f t="shared" ca="1" si="46"/>
        <v>#VALUE!</v>
      </c>
      <c r="P188" s="31" t="e">
        <f t="shared" ca="1" si="47"/>
        <v>#VALUE!</v>
      </c>
      <c r="Q188" s="31" t="e">
        <f t="shared" ca="1" si="48"/>
        <v>#VALUE!</v>
      </c>
      <c r="R188" s="31" t="e">
        <f t="shared" ca="1" si="49"/>
        <v>#VALUE!</v>
      </c>
      <c r="S188" s="10" t="e">
        <f t="shared" ca="1" si="50"/>
        <v>#VALUE!</v>
      </c>
      <c r="T188" s="10" t="e">
        <f t="shared" ca="1" si="51"/>
        <v>#VALUE!</v>
      </c>
      <c r="U188" s="45" t="e">
        <f t="shared" ca="1" si="52"/>
        <v>#VALUE!</v>
      </c>
      <c r="V188" s="180" t="e">
        <f ca="1">Q188*1000000000/($B$22*'1a. Spredningsmodell input'!$C$26*1000)</f>
        <v>#VALUE!</v>
      </c>
      <c r="W188" s="44" t="e">
        <f t="shared" ca="1" si="53"/>
        <v>#VALUE!</v>
      </c>
      <c r="X188" s="167" t="e">
        <f t="shared" ca="1" si="54"/>
        <v>#VALUE!</v>
      </c>
      <c r="Y188" s="102" t="e">
        <f ca="1">(U188/1000000)*('1a. Spredningsmodell input'!$B$49)*'1a. Spredningsmodell input'!$C$35</f>
        <v>#VALUE!</v>
      </c>
      <c r="Z188" s="37" t="e">
        <f ca="1">(V188/1000000)*('1a. Spredningsmodell input'!$B$49)*'1a. Spredningsmodell input'!$C$35</f>
        <v>#VALUE!</v>
      </c>
      <c r="AA188" s="37" t="e">
        <f t="shared" ca="1" si="55"/>
        <v>#VALUE!</v>
      </c>
      <c r="AB188" s="1" t="e">
        <f t="shared" ca="1" si="56"/>
        <v>#VALUE!</v>
      </c>
      <c r="AC188" s="37" t="e">
        <f t="shared" ca="1" si="57"/>
        <v>#VALUE!</v>
      </c>
    </row>
    <row r="189" spans="7:29" x14ac:dyDescent="0.35">
      <c r="G189">
        <v>850</v>
      </c>
      <c r="H189">
        <f>'1a. Spredningsmodell input'!$I$2+G189</f>
        <v>850</v>
      </c>
      <c r="I189" t="e">
        <f t="shared" ca="1" si="41"/>
        <v>#VALUE!</v>
      </c>
      <c r="J189" t="e">
        <f t="shared" ca="1" si="42"/>
        <v>#VALUE!</v>
      </c>
      <c r="K189" t="e">
        <f t="shared" ca="1" si="43"/>
        <v>#VALUE!</v>
      </c>
      <c r="L189" t="e">
        <f t="shared" ca="1" si="58"/>
        <v>#VALUE!</v>
      </c>
      <c r="M189" t="e">
        <f t="shared" ca="1" si="44"/>
        <v>#VALUE!</v>
      </c>
      <c r="N189" s="22" t="e">
        <f t="shared" ca="1" si="45"/>
        <v>#VALUE!</v>
      </c>
      <c r="O189" t="e">
        <f t="shared" ca="1" si="46"/>
        <v>#VALUE!</v>
      </c>
      <c r="P189" s="31" t="e">
        <f t="shared" ca="1" si="47"/>
        <v>#VALUE!</v>
      </c>
      <c r="Q189" s="31" t="e">
        <f t="shared" ca="1" si="48"/>
        <v>#VALUE!</v>
      </c>
      <c r="R189" s="31" t="e">
        <f t="shared" ca="1" si="49"/>
        <v>#VALUE!</v>
      </c>
      <c r="S189" s="10" t="e">
        <f t="shared" ca="1" si="50"/>
        <v>#VALUE!</v>
      </c>
      <c r="T189" s="10" t="e">
        <f t="shared" ca="1" si="51"/>
        <v>#VALUE!</v>
      </c>
      <c r="U189" s="45" t="e">
        <f t="shared" ca="1" si="52"/>
        <v>#VALUE!</v>
      </c>
      <c r="V189" s="180" t="e">
        <f ca="1">Q189*1000000000/($B$22*'1a. Spredningsmodell input'!$C$26*1000)</f>
        <v>#VALUE!</v>
      </c>
      <c r="W189" s="44" t="e">
        <f t="shared" ca="1" si="53"/>
        <v>#VALUE!</v>
      </c>
      <c r="X189" s="167" t="e">
        <f t="shared" ca="1" si="54"/>
        <v>#VALUE!</v>
      </c>
      <c r="Y189" s="102" t="e">
        <f ca="1">(U189/1000000)*('1a. Spredningsmodell input'!$B$49)*'1a. Spredningsmodell input'!$C$35</f>
        <v>#VALUE!</v>
      </c>
      <c r="Z189" s="37" t="e">
        <f ca="1">(V189/1000000)*('1a. Spredningsmodell input'!$B$49)*'1a. Spredningsmodell input'!$C$35</f>
        <v>#VALUE!</v>
      </c>
      <c r="AA189" s="37" t="e">
        <f t="shared" ca="1" si="55"/>
        <v>#VALUE!</v>
      </c>
      <c r="AB189" s="1" t="e">
        <f t="shared" ca="1" si="56"/>
        <v>#VALUE!</v>
      </c>
      <c r="AC189" s="37" t="e">
        <f t="shared" ca="1" si="57"/>
        <v>#VALUE!</v>
      </c>
    </row>
    <row r="190" spans="7:29" x14ac:dyDescent="0.35">
      <c r="G190">
        <v>855</v>
      </c>
      <c r="H190">
        <f>'1a. Spredningsmodell input'!$I$2+G190</f>
        <v>855</v>
      </c>
      <c r="I190" t="e">
        <f t="shared" ca="1" si="41"/>
        <v>#VALUE!</v>
      </c>
      <c r="J190" t="e">
        <f t="shared" ca="1" si="42"/>
        <v>#VALUE!</v>
      </c>
      <c r="K190" t="e">
        <f t="shared" ca="1" si="43"/>
        <v>#VALUE!</v>
      </c>
      <c r="L190" t="e">
        <f t="shared" ca="1" si="58"/>
        <v>#VALUE!</v>
      </c>
      <c r="M190" t="e">
        <f t="shared" ca="1" si="44"/>
        <v>#VALUE!</v>
      </c>
      <c r="N190" s="22" t="e">
        <f t="shared" ca="1" si="45"/>
        <v>#VALUE!</v>
      </c>
      <c r="O190" t="e">
        <f t="shared" ca="1" si="46"/>
        <v>#VALUE!</v>
      </c>
      <c r="P190" s="18" t="e">
        <f t="shared" ca="1" si="47"/>
        <v>#VALUE!</v>
      </c>
      <c r="Q190" s="18" t="e">
        <f t="shared" ca="1" si="48"/>
        <v>#VALUE!</v>
      </c>
      <c r="R190" s="19" t="e">
        <f t="shared" ca="1" si="49"/>
        <v>#VALUE!</v>
      </c>
      <c r="S190" s="10" t="e">
        <f t="shared" ca="1" si="50"/>
        <v>#VALUE!</v>
      </c>
      <c r="T190" s="10" t="e">
        <f t="shared" ca="1" si="51"/>
        <v>#VALUE!</v>
      </c>
      <c r="U190" s="45" t="e">
        <f t="shared" ca="1" si="52"/>
        <v>#VALUE!</v>
      </c>
      <c r="V190" s="180" t="e">
        <f ca="1">Q190*1000000000/($B$22*'1a. Spredningsmodell input'!$C$26*1000)</f>
        <v>#VALUE!</v>
      </c>
      <c r="W190" s="44" t="e">
        <f t="shared" ca="1" si="53"/>
        <v>#VALUE!</v>
      </c>
      <c r="X190" s="167" t="e">
        <f t="shared" ca="1" si="54"/>
        <v>#VALUE!</v>
      </c>
      <c r="Y190" s="102" t="e">
        <f ca="1">(U190/1000000)*('1a. Spredningsmodell input'!$B$49)*'1a. Spredningsmodell input'!$C$35</f>
        <v>#VALUE!</v>
      </c>
      <c r="Z190" s="37" t="e">
        <f ca="1">(V190/1000000)*('1a. Spredningsmodell input'!$B$49)*'1a. Spredningsmodell input'!$C$35</f>
        <v>#VALUE!</v>
      </c>
      <c r="AA190" s="37" t="e">
        <f t="shared" ca="1" si="55"/>
        <v>#VALUE!</v>
      </c>
      <c r="AB190" s="1" t="e">
        <f t="shared" ca="1" si="56"/>
        <v>#VALUE!</v>
      </c>
      <c r="AC190" s="37" t="e">
        <f t="shared" ca="1" si="57"/>
        <v>#VALUE!</v>
      </c>
    </row>
    <row r="191" spans="7:29" x14ac:dyDescent="0.35">
      <c r="G191">
        <v>860</v>
      </c>
      <c r="H191">
        <f>'1a. Spredningsmodell input'!$I$2+G191</f>
        <v>860</v>
      </c>
      <c r="I191" t="e">
        <f t="shared" ca="1" si="41"/>
        <v>#VALUE!</v>
      </c>
      <c r="J191" t="e">
        <f t="shared" ca="1" si="42"/>
        <v>#VALUE!</v>
      </c>
      <c r="K191" t="e">
        <f t="shared" ca="1" si="43"/>
        <v>#VALUE!</v>
      </c>
      <c r="L191" t="e">
        <f t="shared" ca="1" si="58"/>
        <v>#VALUE!</v>
      </c>
      <c r="M191" t="e">
        <f t="shared" ca="1" si="44"/>
        <v>#VALUE!</v>
      </c>
      <c r="N191" s="22" t="e">
        <f t="shared" ca="1" si="45"/>
        <v>#VALUE!</v>
      </c>
      <c r="O191" t="e">
        <f t="shared" ca="1" si="46"/>
        <v>#VALUE!</v>
      </c>
      <c r="P191" s="31" t="e">
        <f t="shared" ca="1" si="47"/>
        <v>#VALUE!</v>
      </c>
      <c r="Q191" s="31" t="e">
        <f t="shared" ca="1" si="48"/>
        <v>#VALUE!</v>
      </c>
      <c r="R191" s="31" t="e">
        <f t="shared" ca="1" si="49"/>
        <v>#VALUE!</v>
      </c>
      <c r="S191" s="10" t="e">
        <f t="shared" ca="1" si="50"/>
        <v>#VALUE!</v>
      </c>
      <c r="T191" s="10" t="e">
        <f t="shared" ca="1" si="51"/>
        <v>#VALUE!</v>
      </c>
      <c r="U191" s="45" t="e">
        <f t="shared" ca="1" si="52"/>
        <v>#VALUE!</v>
      </c>
      <c r="V191" s="180" t="e">
        <f ca="1">Q191*1000000000/($B$22*'1a. Spredningsmodell input'!$C$26*1000)</f>
        <v>#VALUE!</v>
      </c>
      <c r="W191" s="44" t="e">
        <f t="shared" ca="1" si="53"/>
        <v>#VALUE!</v>
      </c>
      <c r="X191" s="167" t="e">
        <f t="shared" ca="1" si="54"/>
        <v>#VALUE!</v>
      </c>
      <c r="Y191" s="102" t="e">
        <f ca="1">(U191/1000000)*('1a. Spredningsmodell input'!$B$49)*'1a. Spredningsmodell input'!$C$35</f>
        <v>#VALUE!</v>
      </c>
      <c r="Z191" s="37" t="e">
        <f ca="1">(V191/1000000)*('1a. Spredningsmodell input'!$B$49)*'1a. Spredningsmodell input'!$C$35</f>
        <v>#VALUE!</v>
      </c>
      <c r="AA191" s="37" t="e">
        <f t="shared" ca="1" si="55"/>
        <v>#VALUE!</v>
      </c>
      <c r="AB191" s="1" t="e">
        <f t="shared" ca="1" si="56"/>
        <v>#VALUE!</v>
      </c>
      <c r="AC191" s="37" t="e">
        <f t="shared" ca="1" si="57"/>
        <v>#VALUE!</v>
      </c>
    </row>
    <row r="192" spans="7:29" x14ac:dyDescent="0.35">
      <c r="G192">
        <v>865</v>
      </c>
      <c r="H192">
        <f>'1a. Spredningsmodell input'!$I$2+G192</f>
        <v>865</v>
      </c>
      <c r="I192" t="e">
        <f t="shared" ca="1" si="41"/>
        <v>#VALUE!</v>
      </c>
      <c r="J192" t="e">
        <f t="shared" ca="1" si="42"/>
        <v>#VALUE!</v>
      </c>
      <c r="K192" t="e">
        <f t="shared" ca="1" si="43"/>
        <v>#VALUE!</v>
      </c>
      <c r="L192" t="e">
        <f t="shared" ca="1" si="58"/>
        <v>#VALUE!</v>
      </c>
      <c r="M192" t="e">
        <f t="shared" ca="1" si="44"/>
        <v>#VALUE!</v>
      </c>
      <c r="N192" s="22" t="e">
        <f t="shared" ca="1" si="45"/>
        <v>#VALUE!</v>
      </c>
      <c r="O192" t="e">
        <f t="shared" ca="1" si="46"/>
        <v>#VALUE!</v>
      </c>
      <c r="P192" s="31" t="e">
        <f t="shared" ca="1" si="47"/>
        <v>#VALUE!</v>
      </c>
      <c r="Q192" s="31" t="e">
        <f t="shared" ca="1" si="48"/>
        <v>#VALUE!</v>
      </c>
      <c r="R192" s="31" t="e">
        <f t="shared" ca="1" si="49"/>
        <v>#VALUE!</v>
      </c>
      <c r="S192" s="10" t="e">
        <f t="shared" ca="1" si="50"/>
        <v>#VALUE!</v>
      </c>
      <c r="T192" s="10" t="e">
        <f t="shared" ca="1" si="51"/>
        <v>#VALUE!</v>
      </c>
      <c r="U192" s="45" t="e">
        <f t="shared" ca="1" si="52"/>
        <v>#VALUE!</v>
      </c>
      <c r="V192" s="180" t="e">
        <f ca="1">Q192*1000000000/($B$22*'1a. Spredningsmodell input'!$C$26*1000)</f>
        <v>#VALUE!</v>
      </c>
      <c r="W192" s="44" t="e">
        <f t="shared" ca="1" si="53"/>
        <v>#VALUE!</v>
      </c>
      <c r="X192" s="167" t="e">
        <f t="shared" ca="1" si="54"/>
        <v>#VALUE!</v>
      </c>
      <c r="Y192" s="102" t="e">
        <f ca="1">(U192/1000000)*('1a. Spredningsmodell input'!$B$49)*'1a. Spredningsmodell input'!$C$35</f>
        <v>#VALUE!</v>
      </c>
      <c r="Z192" s="37" t="e">
        <f ca="1">(V192/1000000)*('1a. Spredningsmodell input'!$B$49)*'1a. Spredningsmodell input'!$C$35</f>
        <v>#VALUE!</v>
      </c>
      <c r="AA192" s="37" t="e">
        <f t="shared" ca="1" si="55"/>
        <v>#VALUE!</v>
      </c>
      <c r="AB192" s="1" t="e">
        <f t="shared" ca="1" si="56"/>
        <v>#VALUE!</v>
      </c>
      <c r="AC192" s="37" t="e">
        <f t="shared" ca="1" si="57"/>
        <v>#VALUE!</v>
      </c>
    </row>
    <row r="193" spans="7:29" x14ac:dyDescent="0.35">
      <c r="G193">
        <v>870</v>
      </c>
      <c r="H193">
        <f>'1a. Spredningsmodell input'!$I$2+G193</f>
        <v>870</v>
      </c>
      <c r="I193" t="e">
        <f t="shared" ca="1" si="41"/>
        <v>#VALUE!</v>
      </c>
      <c r="J193" t="e">
        <f t="shared" ca="1" si="42"/>
        <v>#VALUE!</v>
      </c>
      <c r="K193" t="e">
        <f t="shared" ca="1" si="43"/>
        <v>#VALUE!</v>
      </c>
      <c r="L193" t="e">
        <f t="shared" ca="1" si="58"/>
        <v>#VALUE!</v>
      </c>
      <c r="M193" t="e">
        <f t="shared" ca="1" si="44"/>
        <v>#VALUE!</v>
      </c>
      <c r="N193" s="22" t="e">
        <f t="shared" ca="1" si="45"/>
        <v>#VALUE!</v>
      </c>
      <c r="O193" t="e">
        <f t="shared" ca="1" si="46"/>
        <v>#VALUE!</v>
      </c>
      <c r="P193" s="31" t="e">
        <f t="shared" ca="1" si="47"/>
        <v>#VALUE!</v>
      </c>
      <c r="Q193" s="31" t="e">
        <f t="shared" ca="1" si="48"/>
        <v>#VALUE!</v>
      </c>
      <c r="R193" s="31" t="e">
        <f t="shared" ca="1" si="49"/>
        <v>#VALUE!</v>
      </c>
      <c r="S193" s="10" t="e">
        <f t="shared" ca="1" si="50"/>
        <v>#VALUE!</v>
      </c>
      <c r="T193" s="10" t="e">
        <f t="shared" ca="1" si="51"/>
        <v>#VALUE!</v>
      </c>
      <c r="U193" s="45" t="e">
        <f t="shared" ca="1" si="52"/>
        <v>#VALUE!</v>
      </c>
      <c r="V193" s="180" t="e">
        <f ca="1">Q193*1000000000/($B$22*'1a. Spredningsmodell input'!$C$26*1000)</f>
        <v>#VALUE!</v>
      </c>
      <c r="W193" s="44" t="e">
        <f t="shared" ca="1" si="53"/>
        <v>#VALUE!</v>
      </c>
      <c r="X193" s="167" t="e">
        <f t="shared" ca="1" si="54"/>
        <v>#VALUE!</v>
      </c>
      <c r="Y193" s="102" t="e">
        <f ca="1">(U193/1000000)*('1a. Spredningsmodell input'!$B$49)*'1a. Spredningsmodell input'!$C$35</f>
        <v>#VALUE!</v>
      </c>
      <c r="Z193" s="37" t="e">
        <f ca="1">(V193/1000000)*('1a. Spredningsmodell input'!$B$49)*'1a. Spredningsmodell input'!$C$35</f>
        <v>#VALUE!</v>
      </c>
      <c r="AA193" s="37" t="e">
        <f t="shared" ca="1" si="55"/>
        <v>#VALUE!</v>
      </c>
      <c r="AB193" s="1" t="e">
        <f t="shared" ca="1" si="56"/>
        <v>#VALUE!</v>
      </c>
      <c r="AC193" s="37" t="e">
        <f t="shared" ca="1" si="57"/>
        <v>#VALUE!</v>
      </c>
    </row>
    <row r="194" spans="7:29" x14ac:dyDescent="0.35">
      <c r="G194">
        <v>875</v>
      </c>
      <c r="H194">
        <f>'1a. Spredningsmodell input'!$I$2+G194</f>
        <v>875</v>
      </c>
      <c r="I194" t="e">
        <f t="shared" ca="1" si="41"/>
        <v>#VALUE!</v>
      </c>
      <c r="J194" t="e">
        <f t="shared" ca="1" si="42"/>
        <v>#VALUE!</v>
      </c>
      <c r="K194" t="e">
        <f t="shared" ca="1" si="43"/>
        <v>#VALUE!</v>
      </c>
      <c r="L194" t="e">
        <f t="shared" ca="1" si="58"/>
        <v>#VALUE!</v>
      </c>
      <c r="M194" t="e">
        <f t="shared" ca="1" si="44"/>
        <v>#VALUE!</v>
      </c>
      <c r="N194" s="22" t="e">
        <f t="shared" ca="1" si="45"/>
        <v>#VALUE!</v>
      </c>
      <c r="O194" t="e">
        <f t="shared" ca="1" si="46"/>
        <v>#VALUE!</v>
      </c>
      <c r="P194" s="18" t="e">
        <f t="shared" ca="1" si="47"/>
        <v>#VALUE!</v>
      </c>
      <c r="Q194" s="18" t="e">
        <f t="shared" ca="1" si="48"/>
        <v>#VALUE!</v>
      </c>
      <c r="R194" s="19" t="e">
        <f t="shared" ca="1" si="49"/>
        <v>#VALUE!</v>
      </c>
      <c r="S194" s="10" t="e">
        <f t="shared" ca="1" si="50"/>
        <v>#VALUE!</v>
      </c>
      <c r="T194" s="10" t="e">
        <f t="shared" ca="1" si="51"/>
        <v>#VALUE!</v>
      </c>
      <c r="U194" s="45" t="e">
        <f t="shared" ca="1" si="52"/>
        <v>#VALUE!</v>
      </c>
      <c r="V194" s="180" t="e">
        <f ca="1">Q194*1000000000/($B$22*'1a. Spredningsmodell input'!$C$26*1000)</f>
        <v>#VALUE!</v>
      </c>
      <c r="W194" s="44" t="e">
        <f t="shared" ca="1" si="53"/>
        <v>#VALUE!</v>
      </c>
      <c r="X194" s="167" t="e">
        <f t="shared" ca="1" si="54"/>
        <v>#VALUE!</v>
      </c>
      <c r="Y194" s="102" t="e">
        <f ca="1">(U194/1000000)*('1a. Spredningsmodell input'!$B$49)*'1a. Spredningsmodell input'!$C$35</f>
        <v>#VALUE!</v>
      </c>
      <c r="Z194" s="37" t="e">
        <f ca="1">(V194/1000000)*('1a. Spredningsmodell input'!$B$49)*'1a. Spredningsmodell input'!$C$35</f>
        <v>#VALUE!</v>
      </c>
      <c r="AA194" s="37" t="e">
        <f t="shared" ca="1" si="55"/>
        <v>#VALUE!</v>
      </c>
      <c r="AB194" s="1" t="e">
        <f t="shared" ca="1" si="56"/>
        <v>#VALUE!</v>
      </c>
      <c r="AC194" s="37" t="e">
        <f t="shared" ca="1" si="57"/>
        <v>#VALUE!</v>
      </c>
    </row>
    <row r="195" spans="7:29" x14ac:dyDescent="0.35">
      <c r="G195">
        <v>880</v>
      </c>
      <c r="H195">
        <f>'1a. Spredningsmodell input'!$I$2+G195</f>
        <v>880</v>
      </c>
      <c r="I195" t="e">
        <f t="shared" ca="1" si="41"/>
        <v>#VALUE!</v>
      </c>
      <c r="J195" t="e">
        <f t="shared" ca="1" si="42"/>
        <v>#VALUE!</v>
      </c>
      <c r="K195" t="e">
        <f t="shared" ca="1" si="43"/>
        <v>#VALUE!</v>
      </c>
      <c r="L195" t="e">
        <f t="shared" ca="1" si="58"/>
        <v>#VALUE!</v>
      </c>
      <c r="M195" t="e">
        <f t="shared" ca="1" si="44"/>
        <v>#VALUE!</v>
      </c>
      <c r="N195" s="22" t="e">
        <f t="shared" ca="1" si="45"/>
        <v>#VALUE!</v>
      </c>
      <c r="O195" t="e">
        <f t="shared" ca="1" si="46"/>
        <v>#VALUE!</v>
      </c>
      <c r="P195" s="31" t="e">
        <f t="shared" ca="1" si="47"/>
        <v>#VALUE!</v>
      </c>
      <c r="Q195" s="31" t="e">
        <f t="shared" ca="1" si="48"/>
        <v>#VALUE!</v>
      </c>
      <c r="R195" s="31" t="e">
        <f t="shared" ca="1" si="49"/>
        <v>#VALUE!</v>
      </c>
      <c r="S195" s="10" t="e">
        <f t="shared" ca="1" si="50"/>
        <v>#VALUE!</v>
      </c>
      <c r="T195" s="10" t="e">
        <f t="shared" ca="1" si="51"/>
        <v>#VALUE!</v>
      </c>
      <c r="U195" s="45" t="e">
        <f t="shared" ca="1" si="52"/>
        <v>#VALUE!</v>
      </c>
      <c r="V195" s="180" t="e">
        <f ca="1">Q195*1000000000/($B$22*'1a. Spredningsmodell input'!$C$26*1000)</f>
        <v>#VALUE!</v>
      </c>
      <c r="W195" s="44" t="e">
        <f t="shared" ca="1" si="53"/>
        <v>#VALUE!</v>
      </c>
      <c r="X195" s="167" t="e">
        <f t="shared" ca="1" si="54"/>
        <v>#VALUE!</v>
      </c>
      <c r="Y195" s="102" t="e">
        <f ca="1">(U195/1000000)*('1a. Spredningsmodell input'!$B$49)*'1a. Spredningsmodell input'!$C$35</f>
        <v>#VALUE!</v>
      </c>
      <c r="Z195" s="37" t="e">
        <f ca="1">(V195/1000000)*('1a. Spredningsmodell input'!$B$49)*'1a. Spredningsmodell input'!$C$35</f>
        <v>#VALUE!</v>
      </c>
      <c r="AA195" s="37" t="e">
        <f t="shared" ca="1" si="55"/>
        <v>#VALUE!</v>
      </c>
      <c r="AB195" s="1" t="e">
        <f t="shared" ca="1" si="56"/>
        <v>#VALUE!</v>
      </c>
      <c r="AC195" s="37" t="e">
        <f t="shared" ca="1" si="57"/>
        <v>#VALUE!</v>
      </c>
    </row>
    <row r="196" spans="7:29" x14ac:dyDescent="0.35">
      <c r="G196">
        <v>885</v>
      </c>
      <c r="H196">
        <f>'1a. Spredningsmodell input'!$I$2+G196</f>
        <v>885</v>
      </c>
      <c r="I196" t="e">
        <f t="shared" ca="1" si="41"/>
        <v>#VALUE!</v>
      </c>
      <c r="J196" t="e">
        <f t="shared" ca="1" si="42"/>
        <v>#VALUE!</v>
      </c>
      <c r="K196" t="e">
        <f t="shared" ca="1" si="43"/>
        <v>#VALUE!</v>
      </c>
      <c r="L196" t="e">
        <f t="shared" ca="1" si="58"/>
        <v>#VALUE!</v>
      </c>
      <c r="M196" t="e">
        <f t="shared" ca="1" si="44"/>
        <v>#VALUE!</v>
      </c>
      <c r="N196" s="22" t="e">
        <f t="shared" ca="1" si="45"/>
        <v>#VALUE!</v>
      </c>
      <c r="O196" t="e">
        <f t="shared" ca="1" si="46"/>
        <v>#VALUE!</v>
      </c>
      <c r="P196" s="31" t="e">
        <f t="shared" ca="1" si="47"/>
        <v>#VALUE!</v>
      </c>
      <c r="Q196" s="31" t="e">
        <f t="shared" ca="1" si="48"/>
        <v>#VALUE!</v>
      </c>
      <c r="R196" s="31" t="e">
        <f t="shared" ca="1" si="49"/>
        <v>#VALUE!</v>
      </c>
      <c r="S196" s="10" t="e">
        <f t="shared" ca="1" si="50"/>
        <v>#VALUE!</v>
      </c>
      <c r="T196" s="10" t="e">
        <f t="shared" ca="1" si="51"/>
        <v>#VALUE!</v>
      </c>
      <c r="U196" s="45" t="e">
        <f t="shared" ca="1" si="52"/>
        <v>#VALUE!</v>
      </c>
      <c r="V196" s="180" t="e">
        <f ca="1">Q196*1000000000/($B$22*'1a. Spredningsmodell input'!$C$26*1000)</f>
        <v>#VALUE!</v>
      </c>
      <c r="W196" s="44" t="e">
        <f t="shared" ca="1" si="53"/>
        <v>#VALUE!</v>
      </c>
      <c r="X196" s="167" t="e">
        <f t="shared" ca="1" si="54"/>
        <v>#VALUE!</v>
      </c>
      <c r="Y196" s="102" t="e">
        <f ca="1">(U196/1000000)*('1a. Spredningsmodell input'!$B$49)*'1a. Spredningsmodell input'!$C$35</f>
        <v>#VALUE!</v>
      </c>
      <c r="Z196" s="37" t="e">
        <f ca="1">(V196/1000000)*('1a. Spredningsmodell input'!$B$49)*'1a. Spredningsmodell input'!$C$35</f>
        <v>#VALUE!</v>
      </c>
      <c r="AA196" s="37" t="e">
        <f t="shared" ca="1" si="55"/>
        <v>#VALUE!</v>
      </c>
      <c r="AB196" s="1" t="e">
        <f t="shared" ca="1" si="56"/>
        <v>#VALUE!</v>
      </c>
      <c r="AC196" s="37" t="e">
        <f t="shared" ca="1" si="57"/>
        <v>#VALUE!</v>
      </c>
    </row>
    <row r="197" spans="7:29" x14ac:dyDescent="0.35">
      <c r="G197">
        <v>890</v>
      </c>
      <c r="H197">
        <f>'1a. Spredningsmodell input'!$I$2+G197</f>
        <v>890</v>
      </c>
      <c r="I197" t="e">
        <f t="shared" ca="1" si="41"/>
        <v>#VALUE!</v>
      </c>
      <c r="J197" t="e">
        <f t="shared" ca="1" si="42"/>
        <v>#VALUE!</v>
      </c>
      <c r="K197" t="e">
        <f t="shared" ca="1" si="43"/>
        <v>#VALUE!</v>
      </c>
      <c r="L197" t="e">
        <f t="shared" ca="1" si="58"/>
        <v>#VALUE!</v>
      </c>
      <c r="M197" t="e">
        <f t="shared" ca="1" si="44"/>
        <v>#VALUE!</v>
      </c>
      <c r="N197" s="22" t="e">
        <f t="shared" ca="1" si="45"/>
        <v>#VALUE!</v>
      </c>
      <c r="O197" t="e">
        <f t="shared" ca="1" si="46"/>
        <v>#VALUE!</v>
      </c>
      <c r="P197" s="31" t="e">
        <f t="shared" ca="1" si="47"/>
        <v>#VALUE!</v>
      </c>
      <c r="Q197" s="31" t="e">
        <f t="shared" ca="1" si="48"/>
        <v>#VALUE!</v>
      </c>
      <c r="R197" s="31" t="e">
        <f t="shared" ca="1" si="49"/>
        <v>#VALUE!</v>
      </c>
      <c r="S197" s="10" t="e">
        <f t="shared" ca="1" si="50"/>
        <v>#VALUE!</v>
      </c>
      <c r="T197" s="10" t="e">
        <f t="shared" ca="1" si="51"/>
        <v>#VALUE!</v>
      </c>
      <c r="U197" s="45" t="e">
        <f t="shared" ca="1" si="52"/>
        <v>#VALUE!</v>
      </c>
      <c r="V197" s="180" t="e">
        <f ca="1">Q197*1000000000/($B$22*'1a. Spredningsmodell input'!$C$26*1000)</f>
        <v>#VALUE!</v>
      </c>
      <c r="W197" s="44" t="e">
        <f t="shared" ca="1" si="53"/>
        <v>#VALUE!</v>
      </c>
      <c r="X197" s="167" t="e">
        <f t="shared" ca="1" si="54"/>
        <v>#VALUE!</v>
      </c>
      <c r="Y197" s="102" t="e">
        <f ca="1">(U197/1000000)*('1a. Spredningsmodell input'!$B$49)*'1a. Spredningsmodell input'!$C$35</f>
        <v>#VALUE!</v>
      </c>
      <c r="Z197" s="37" t="e">
        <f ca="1">(V197/1000000)*('1a. Spredningsmodell input'!$B$49)*'1a. Spredningsmodell input'!$C$35</f>
        <v>#VALUE!</v>
      </c>
      <c r="AA197" s="37" t="e">
        <f t="shared" ca="1" si="55"/>
        <v>#VALUE!</v>
      </c>
      <c r="AB197" s="1" t="e">
        <f t="shared" ca="1" si="56"/>
        <v>#VALUE!</v>
      </c>
      <c r="AC197" s="37" t="e">
        <f t="shared" ca="1" si="57"/>
        <v>#VALUE!</v>
      </c>
    </row>
    <row r="198" spans="7:29" x14ac:dyDescent="0.35">
      <c r="G198">
        <v>895</v>
      </c>
      <c r="H198">
        <f>'1a. Spredningsmodell input'!$I$2+G198</f>
        <v>895</v>
      </c>
      <c r="I198" t="e">
        <f t="shared" ca="1" si="41"/>
        <v>#VALUE!</v>
      </c>
      <c r="J198" t="e">
        <f t="shared" ca="1" si="42"/>
        <v>#VALUE!</v>
      </c>
      <c r="K198" t="e">
        <f t="shared" ca="1" si="43"/>
        <v>#VALUE!</v>
      </c>
      <c r="L198" t="e">
        <f t="shared" ca="1" si="58"/>
        <v>#VALUE!</v>
      </c>
      <c r="M198" t="e">
        <f t="shared" ca="1" si="44"/>
        <v>#VALUE!</v>
      </c>
      <c r="N198" s="22" t="e">
        <f t="shared" ca="1" si="45"/>
        <v>#VALUE!</v>
      </c>
      <c r="O198" t="e">
        <f t="shared" ca="1" si="46"/>
        <v>#VALUE!</v>
      </c>
      <c r="P198" s="18" t="e">
        <f t="shared" ca="1" si="47"/>
        <v>#VALUE!</v>
      </c>
      <c r="Q198" s="18" t="e">
        <f t="shared" ca="1" si="48"/>
        <v>#VALUE!</v>
      </c>
      <c r="R198" s="19" t="e">
        <f t="shared" ca="1" si="49"/>
        <v>#VALUE!</v>
      </c>
      <c r="S198" s="10" t="e">
        <f t="shared" ca="1" si="50"/>
        <v>#VALUE!</v>
      </c>
      <c r="T198" s="10" t="e">
        <f t="shared" ca="1" si="51"/>
        <v>#VALUE!</v>
      </c>
      <c r="U198" s="45" t="e">
        <f t="shared" ca="1" si="52"/>
        <v>#VALUE!</v>
      </c>
      <c r="V198" s="180" t="e">
        <f ca="1">Q198*1000000000/($B$22*'1a. Spredningsmodell input'!$C$26*1000)</f>
        <v>#VALUE!</v>
      </c>
      <c r="W198" s="44" t="e">
        <f t="shared" ca="1" si="53"/>
        <v>#VALUE!</v>
      </c>
      <c r="X198" s="167" t="e">
        <f t="shared" ca="1" si="54"/>
        <v>#VALUE!</v>
      </c>
      <c r="Y198" s="102" t="e">
        <f ca="1">(U198/1000000)*('1a. Spredningsmodell input'!$B$49)*'1a. Spredningsmodell input'!$C$35</f>
        <v>#VALUE!</v>
      </c>
      <c r="Z198" s="37" t="e">
        <f ca="1">(V198/1000000)*('1a. Spredningsmodell input'!$B$49)*'1a. Spredningsmodell input'!$C$35</f>
        <v>#VALUE!</v>
      </c>
      <c r="AA198" s="37" t="e">
        <f t="shared" ca="1" si="55"/>
        <v>#VALUE!</v>
      </c>
      <c r="AB198" s="1" t="e">
        <f t="shared" ca="1" si="56"/>
        <v>#VALUE!</v>
      </c>
      <c r="AC198" s="37" t="e">
        <f t="shared" ca="1" si="57"/>
        <v>#VALUE!</v>
      </c>
    </row>
    <row r="199" spans="7:29" x14ac:dyDescent="0.35">
      <c r="G199">
        <v>900</v>
      </c>
      <c r="H199">
        <f>'1a. Spredningsmodell input'!$I$2+G199</f>
        <v>900</v>
      </c>
      <c r="I199" t="e">
        <f t="shared" ca="1" si="41"/>
        <v>#VALUE!</v>
      </c>
      <c r="J199" t="e">
        <f t="shared" ca="1" si="42"/>
        <v>#VALUE!</v>
      </c>
      <c r="K199" t="e">
        <f t="shared" ca="1" si="43"/>
        <v>#VALUE!</v>
      </c>
      <c r="L199" t="e">
        <f t="shared" ca="1" si="58"/>
        <v>#VALUE!</v>
      </c>
      <c r="M199" t="e">
        <f t="shared" ca="1" si="44"/>
        <v>#VALUE!</v>
      </c>
      <c r="N199" s="22" t="e">
        <f t="shared" ca="1" si="45"/>
        <v>#VALUE!</v>
      </c>
      <c r="O199" t="e">
        <f t="shared" ca="1" si="46"/>
        <v>#VALUE!</v>
      </c>
      <c r="P199" s="31" t="e">
        <f t="shared" ca="1" si="47"/>
        <v>#VALUE!</v>
      </c>
      <c r="Q199" s="31" t="e">
        <f t="shared" ca="1" si="48"/>
        <v>#VALUE!</v>
      </c>
      <c r="R199" s="31" t="e">
        <f t="shared" ca="1" si="49"/>
        <v>#VALUE!</v>
      </c>
      <c r="S199" s="10" t="e">
        <f t="shared" ca="1" si="50"/>
        <v>#VALUE!</v>
      </c>
      <c r="T199" s="10" t="e">
        <f t="shared" ca="1" si="51"/>
        <v>#VALUE!</v>
      </c>
      <c r="U199" s="45" t="e">
        <f t="shared" ca="1" si="52"/>
        <v>#VALUE!</v>
      </c>
      <c r="V199" s="180" t="e">
        <f ca="1">Q199*1000000000/($B$22*'1a. Spredningsmodell input'!$C$26*1000)</f>
        <v>#VALUE!</v>
      </c>
      <c r="W199" s="44" t="e">
        <f t="shared" ca="1" si="53"/>
        <v>#VALUE!</v>
      </c>
      <c r="X199" s="167" t="e">
        <f t="shared" ca="1" si="54"/>
        <v>#VALUE!</v>
      </c>
      <c r="Y199" s="102" t="e">
        <f ca="1">(U199/1000000)*('1a. Spredningsmodell input'!$B$49)*'1a. Spredningsmodell input'!$C$35</f>
        <v>#VALUE!</v>
      </c>
      <c r="Z199" s="37" t="e">
        <f ca="1">(V199/1000000)*('1a. Spredningsmodell input'!$B$49)*'1a. Spredningsmodell input'!$C$35</f>
        <v>#VALUE!</v>
      </c>
      <c r="AA199" s="37" t="e">
        <f t="shared" ca="1" si="55"/>
        <v>#VALUE!</v>
      </c>
      <c r="AB199" s="1" t="e">
        <f t="shared" ca="1" si="56"/>
        <v>#VALUE!</v>
      </c>
      <c r="AC199" s="37" t="e">
        <f t="shared" ca="1" si="57"/>
        <v>#VALUE!</v>
      </c>
    </row>
    <row r="200" spans="7:29" x14ac:dyDescent="0.35">
      <c r="G200">
        <v>905</v>
      </c>
      <c r="H200">
        <f>'1a. Spredningsmodell input'!$I$2+G200</f>
        <v>905</v>
      </c>
      <c r="I200" t="e">
        <f t="shared" ca="1" si="41"/>
        <v>#VALUE!</v>
      </c>
      <c r="J200" t="e">
        <f t="shared" ca="1" si="42"/>
        <v>#VALUE!</v>
      </c>
      <c r="K200" t="e">
        <f t="shared" ca="1" si="43"/>
        <v>#VALUE!</v>
      </c>
      <c r="L200" t="e">
        <f t="shared" ca="1" si="58"/>
        <v>#VALUE!</v>
      </c>
      <c r="M200" t="e">
        <f t="shared" ca="1" si="44"/>
        <v>#VALUE!</v>
      </c>
      <c r="N200" s="22" t="e">
        <f t="shared" ca="1" si="45"/>
        <v>#VALUE!</v>
      </c>
      <c r="O200" t="e">
        <f t="shared" ca="1" si="46"/>
        <v>#VALUE!</v>
      </c>
      <c r="P200" s="31" t="e">
        <f t="shared" ca="1" si="47"/>
        <v>#VALUE!</v>
      </c>
      <c r="Q200" s="31" t="e">
        <f t="shared" ca="1" si="48"/>
        <v>#VALUE!</v>
      </c>
      <c r="R200" s="31" t="e">
        <f t="shared" ca="1" si="49"/>
        <v>#VALUE!</v>
      </c>
      <c r="S200" s="10" t="e">
        <f t="shared" ca="1" si="50"/>
        <v>#VALUE!</v>
      </c>
      <c r="T200" s="10" t="e">
        <f t="shared" ca="1" si="51"/>
        <v>#VALUE!</v>
      </c>
      <c r="U200" s="45" t="e">
        <f t="shared" ca="1" si="52"/>
        <v>#VALUE!</v>
      </c>
      <c r="V200" s="180" t="e">
        <f ca="1">Q200*1000000000/($B$22*'1a. Spredningsmodell input'!$C$26*1000)</f>
        <v>#VALUE!</v>
      </c>
      <c r="W200" s="44" t="e">
        <f t="shared" ca="1" si="53"/>
        <v>#VALUE!</v>
      </c>
      <c r="X200" s="167" t="e">
        <f t="shared" ca="1" si="54"/>
        <v>#VALUE!</v>
      </c>
      <c r="Y200" s="102" t="e">
        <f ca="1">(U200/1000000)*('1a. Spredningsmodell input'!$B$49)*'1a. Spredningsmodell input'!$C$35</f>
        <v>#VALUE!</v>
      </c>
      <c r="Z200" s="37" t="e">
        <f ca="1">(V200/1000000)*('1a. Spredningsmodell input'!$B$49)*'1a. Spredningsmodell input'!$C$35</f>
        <v>#VALUE!</v>
      </c>
      <c r="AA200" s="37" t="e">
        <f t="shared" ca="1" si="55"/>
        <v>#VALUE!</v>
      </c>
      <c r="AB200" s="1" t="e">
        <f t="shared" ca="1" si="56"/>
        <v>#VALUE!</v>
      </c>
      <c r="AC200" s="37" t="e">
        <f t="shared" ca="1" si="57"/>
        <v>#VALUE!</v>
      </c>
    </row>
    <row r="201" spans="7:29" x14ac:dyDescent="0.35">
      <c r="G201">
        <v>910</v>
      </c>
      <c r="H201">
        <f>'1a. Spredningsmodell input'!$I$2+G201</f>
        <v>910</v>
      </c>
      <c r="I201" t="e">
        <f t="shared" ca="1" si="41"/>
        <v>#VALUE!</v>
      </c>
      <c r="J201" t="e">
        <f t="shared" ca="1" si="42"/>
        <v>#VALUE!</v>
      </c>
      <c r="K201" t="e">
        <f t="shared" ca="1" si="43"/>
        <v>#VALUE!</v>
      </c>
      <c r="L201" t="e">
        <f t="shared" ca="1" si="58"/>
        <v>#VALUE!</v>
      </c>
      <c r="M201" t="e">
        <f t="shared" ca="1" si="44"/>
        <v>#VALUE!</v>
      </c>
      <c r="N201" s="22" t="e">
        <f t="shared" ca="1" si="45"/>
        <v>#VALUE!</v>
      </c>
      <c r="O201" t="e">
        <f t="shared" ca="1" si="46"/>
        <v>#VALUE!</v>
      </c>
      <c r="P201" s="31" t="e">
        <f t="shared" ca="1" si="47"/>
        <v>#VALUE!</v>
      </c>
      <c r="Q201" s="31" t="e">
        <f t="shared" ca="1" si="48"/>
        <v>#VALUE!</v>
      </c>
      <c r="R201" s="31" t="e">
        <f t="shared" ca="1" si="49"/>
        <v>#VALUE!</v>
      </c>
      <c r="S201" s="10" t="e">
        <f t="shared" ca="1" si="50"/>
        <v>#VALUE!</v>
      </c>
      <c r="T201" s="10" t="e">
        <f t="shared" ca="1" si="51"/>
        <v>#VALUE!</v>
      </c>
      <c r="U201" s="45" t="e">
        <f t="shared" ca="1" si="52"/>
        <v>#VALUE!</v>
      </c>
      <c r="V201" s="180" t="e">
        <f ca="1">Q201*1000000000/($B$22*'1a. Spredningsmodell input'!$C$26*1000)</f>
        <v>#VALUE!</v>
      </c>
      <c r="W201" s="44" t="e">
        <f t="shared" ca="1" si="53"/>
        <v>#VALUE!</v>
      </c>
      <c r="X201" s="167" t="e">
        <f t="shared" ca="1" si="54"/>
        <v>#VALUE!</v>
      </c>
      <c r="Y201" s="102" t="e">
        <f ca="1">(U201/1000000)*('1a. Spredningsmodell input'!$B$49)*'1a. Spredningsmodell input'!$C$35</f>
        <v>#VALUE!</v>
      </c>
      <c r="Z201" s="37" t="e">
        <f ca="1">(V201/1000000)*('1a. Spredningsmodell input'!$B$49)*'1a. Spredningsmodell input'!$C$35</f>
        <v>#VALUE!</v>
      </c>
      <c r="AA201" s="37" t="e">
        <f t="shared" ca="1" si="55"/>
        <v>#VALUE!</v>
      </c>
      <c r="AB201" s="1" t="e">
        <f t="shared" ca="1" si="56"/>
        <v>#VALUE!</v>
      </c>
      <c r="AC201" s="37" t="e">
        <f t="shared" ca="1" si="57"/>
        <v>#VALUE!</v>
      </c>
    </row>
    <row r="202" spans="7:29" x14ac:dyDescent="0.35">
      <c r="G202">
        <v>915</v>
      </c>
      <c r="H202">
        <f>'1a. Spredningsmodell input'!$I$2+G202</f>
        <v>915</v>
      </c>
      <c r="I202" t="e">
        <f t="shared" ca="1" si="41"/>
        <v>#VALUE!</v>
      </c>
      <c r="J202" t="e">
        <f t="shared" ca="1" si="42"/>
        <v>#VALUE!</v>
      </c>
      <c r="K202" t="e">
        <f t="shared" ca="1" si="43"/>
        <v>#VALUE!</v>
      </c>
      <c r="L202" t="e">
        <f t="shared" ca="1" si="58"/>
        <v>#VALUE!</v>
      </c>
      <c r="M202" t="e">
        <f t="shared" ca="1" si="44"/>
        <v>#VALUE!</v>
      </c>
      <c r="N202" s="22" t="e">
        <f t="shared" ca="1" si="45"/>
        <v>#VALUE!</v>
      </c>
      <c r="O202" t="e">
        <f t="shared" ca="1" si="46"/>
        <v>#VALUE!</v>
      </c>
      <c r="P202" s="31" t="e">
        <f t="shared" ca="1" si="47"/>
        <v>#VALUE!</v>
      </c>
      <c r="Q202" s="31" t="e">
        <f t="shared" ca="1" si="48"/>
        <v>#VALUE!</v>
      </c>
      <c r="R202" s="31" t="e">
        <f t="shared" ca="1" si="49"/>
        <v>#VALUE!</v>
      </c>
      <c r="S202" s="10" t="e">
        <f t="shared" ca="1" si="50"/>
        <v>#VALUE!</v>
      </c>
      <c r="T202" s="10" t="e">
        <f t="shared" ca="1" si="51"/>
        <v>#VALUE!</v>
      </c>
      <c r="U202" s="45" t="e">
        <f t="shared" ca="1" si="52"/>
        <v>#VALUE!</v>
      </c>
      <c r="V202" s="180" t="e">
        <f ca="1">Q202*1000000000/($B$22*'1a. Spredningsmodell input'!$C$26*1000)</f>
        <v>#VALUE!</v>
      </c>
      <c r="W202" s="44" t="e">
        <f t="shared" ca="1" si="53"/>
        <v>#VALUE!</v>
      </c>
      <c r="X202" s="167" t="e">
        <f t="shared" ca="1" si="54"/>
        <v>#VALUE!</v>
      </c>
      <c r="Y202" s="102" t="e">
        <f ca="1">(U202/1000000)*('1a. Spredningsmodell input'!$B$49)*'1a. Spredningsmodell input'!$C$35</f>
        <v>#VALUE!</v>
      </c>
      <c r="Z202" s="37" t="e">
        <f ca="1">(V202/1000000)*('1a. Spredningsmodell input'!$B$49)*'1a. Spredningsmodell input'!$C$35</f>
        <v>#VALUE!</v>
      </c>
      <c r="AA202" s="37" t="e">
        <f t="shared" ca="1" si="55"/>
        <v>#VALUE!</v>
      </c>
      <c r="AB202" s="1" t="e">
        <f t="shared" ca="1" si="56"/>
        <v>#VALUE!</v>
      </c>
      <c r="AC202" s="37" t="e">
        <f t="shared" ca="1" si="57"/>
        <v>#VALUE!</v>
      </c>
    </row>
    <row r="203" spans="7:29" x14ac:dyDescent="0.35">
      <c r="G203">
        <v>920</v>
      </c>
      <c r="H203">
        <f>'1a. Spredningsmodell input'!$I$2+G203</f>
        <v>920</v>
      </c>
      <c r="I203" t="e">
        <f t="shared" ca="1" si="41"/>
        <v>#VALUE!</v>
      </c>
      <c r="J203" t="e">
        <f t="shared" ca="1" si="42"/>
        <v>#VALUE!</v>
      </c>
      <c r="K203" t="e">
        <f t="shared" ca="1" si="43"/>
        <v>#VALUE!</v>
      </c>
      <c r="L203" t="e">
        <f t="shared" ca="1" si="58"/>
        <v>#VALUE!</v>
      </c>
      <c r="M203" t="e">
        <f t="shared" ca="1" si="44"/>
        <v>#VALUE!</v>
      </c>
      <c r="N203" s="22" t="e">
        <f t="shared" ca="1" si="45"/>
        <v>#VALUE!</v>
      </c>
      <c r="O203" t="e">
        <f t="shared" ca="1" si="46"/>
        <v>#VALUE!</v>
      </c>
      <c r="P203" s="31" t="e">
        <f t="shared" ca="1" si="47"/>
        <v>#VALUE!</v>
      </c>
      <c r="Q203" s="31" t="e">
        <f t="shared" ca="1" si="48"/>
        <v>#VALUE!</v>
      </c>
      <c r="R203" s="31" t="e">
        <f t="shared" ca="1" si="49"/>
        <v>#VALUE!</v>
      </c>
      <c r="S203" s="10" t="e">
        <f t="shared" ca="1" si="50"/>
        <v>#VALUE!</v>
      </c>
      <c r="T203" s="10" t="e">
        <f t="shared" ca="1" si="51"/>
        <v>#VALUE!</v>
      </c>
      <c r="U203" s="45" t="e">
        <f t="shared" ca="1" si="52"/>
        <v>#VALUE!</v>
      </c>
      <c r="V203" s="180" t="e">
        <f ca="1">Q203*1000000000/($B$22*'1a. Spredningsmodell input'!$C$26*1000)</f>
        <v>#VALUE!</v>
      </c>
      <c r="W203" s="44" t="e">
        <f t="shared" ca="1" si="53"/>
        <v>#VALUE!</v>
      </c>
      <c r="X203" s="167" t="e">
        <f t="shared" ca="1" si="54"/>
        <v>#VALUE!</v>
      </c>
      <c r="Y203" s="102" t="e">
        <f ca="1">(U203/1000000)*('1a. Spredningsmodell input'!$B$49)*'1a. Spredningsmodell input'!$C$35</f>
        <v>#VALUE!</v>
      </c>
      <c r="Z203" s="37" t="e">
        <f ca="1">(V203/1000000)*('1a. Spredningsmodell input'!$B$49)*'1a. Spredningsmodell input'!$C$35</f>
        <v>#VALUE!</v>
      </c>
      <c r="AA203" s="37" t="e">
        <f t="shared" ca="1" si="55"/>
        <v>#VALUE!</v>
      </c>
      <c r="AB203" s="1" t="e">
        <f t="shared" ca="1" si="56"/>
        <v>#VALUE!</v>
      </c>
      <c r="AC203" s="37" t="e">
        <f t="shared" ca="1" si="57"/>
        <v>#VALUE!</v>
      </c>
    </row>
    <row r="204" spans="7:29" x14ac:dyDescent="0.35">
      <c r="G204">
        <v>925</v>
      </c>
      <c r="H204">
        <f>'1a. Spredningsmodell input'!$I$2+G204</f>
        <v>925</v>
      </c>
      <c r="I204" t="e">
        <f t="shared" ca="1" si="41"/>
        <v>#VALUE!</v>
      </c>
      <c r="J204" t="e">
        <f t="shared" ca="1" si="42"/>
        <v>#VALUE!</v>
      </c>
      <c r="K204" t="e">
        <f t="shared" ca="1" si="43"/>
        <v>#VALUE!</v>
      </c>
      <c r="L204" t="e">
        <f t="shared" ca="1" si="58"/>
        <v>#VALUE!</v>
      </c>
      <c r="M204" t="e">
        <f t="shared" ca="1" si="44"/>
        <v>#VALUE!</v>
      </c>
      <c r="N204" s="22" t="e">
        <f t="shared" ca="1" si="45"/>
        <v>#VALUE!</v>
      </c>
      <c r="O204" t="e">
        <f t="shared" ca="1" si="46"/>
        <v>#VALUE!</v>
      </c>
      <c r="P204" s="18" t="e">
        <f t="shared" ca="1" si="47"/>
        <v>#VALUE!</v>
      </c>
      <c r="Q204" s="18" t="e">
        <f t="shared" ca="1" si="48"/>
        <v>#VALUE!</v>
      </c>
      <c r="R204" s="19" t="e">
        <f t="shared" ca="1" si="49"/>
        <v>#VALUE!</v>
      </c>
      <c r="S204" s="10" t="e">
        <f t="shared" ca="1" si="50"/>
        <v>#VALUE!</v>
      </c>
      <c r="T204" s="10" t="e">
        <f t="shared" ca="1" si="51"/>
        <v>#VALUE!</v>
      </c>
      <c r="U204" s="45" t="e">
        <f t="shared" ca="1" si="52"/>
        <v>#VALUE!</v>
      </c>
      <c r="V204" s="180" t="e">
        <f ca="1">Q204*1000000000/($B$22*'1a. Spredningsmodell input'!$C$26*1000)</f>
        <v>#VALUE!</v>
      </c>
      <c r="W204" s="44" t="e">
        <f t="shared" ca="1" si="53"/>
        <v>#VALUE!</v>
      </c>
      <c r="X204" s="167" t="e">
        <f t="shared" ca="1" si="54"/>
        <v>#VALUE!</v>
      </c>
      <c r="Y204" s="102" t="e">
        <f ca="1">(U204/1000000)*('1a. Spredningsmodell input'!$B$49)*'1a. Spredningsmodell input'!$C$35</f>
        <v>#VALUE!</v>
      </c>
      <c r="Z204" s="37" t="e">
        <f ca="1">(V204/1000000)*('1a. Spredningsmodell input'!$B$49)*'1a. Spredningsmodell input'!$C$35</f>
        <v>#VALUE!</v>
      </c>
      <c r="AA204" s="37" t="e">
        <f t="shared" ca="1" si="55"/>
        <v>#VALUE!</v>
      </c>
      <c r="AB204" s="1" t="e">
        <f t="shared" ca="1" si="56"/>
        <v>#VALUE!</v>
      </c>
      <c r="AC204" s="37" t="e">
        <f t="shared" ca="1" si="57"/>
        <v>#VALUE!</v>
      </c>
    </row>
    <row r="205" spans="7:29" x14ac:dyDescent="0.35">
      <c r="G205">
        <v>930</v>
      </c>
      <c r="H205">
        <f>'1a. Spredningsmodell input'!$I$2+G205</f>
        <v>930</v>
      </c>
      <c r="I205" t="e">
        <f t="shared" ca="1" si="41"/>
        <v>#VALUE!</v>
      </c>
      <c r="J205" t="e">
        <f t="shared" ca="1" si="42"/>
        <v>#VALUE!</v>
      </c>
      <c r="K205" t="e">
        <f t="shared" ca="1" si="43"/>
        <v>#VALUE!</v>
      </c>
      <c r="L205" t="e">
        <f t="shared" ca="1" si="58"/>
        <v>#VALUE!</v>
      </c>
      <c r="M205" t="e">
        <f t="shared" ca="1" si="44"/>
        <v>#VALUE!</v>
      </c>
      <c r="N205" s="22" t="e">
        <f t="shared" ca="1" si="45"/>
        <v>#VALUE!</v>
      </c>
      <c r="O205" t="e">
        <f t="shared" ca="1" si="46"/>
        <v>#VALUE!</v>
      </c>
      <c r="P205" s="31" t="e">
        <f t="shared" ca="1" si="47"/>
        <v>#VALUE!</v>
      </c>
      <c r="Q205" s="31" t="e">
        <f t="shared" ca="1" si="48"/>
        <v>#VALUE!</v>
      </c>
      <c r="R205" s="31" t="e">
        <f t="shared" ca="1" si="49"/>
        <v>#VALUE!</v>
      </c>
      <c r="S205" s="10" t="e">
        <f t="shared" ca="1" si="50"/>
        <v>#VALUE!</v>
      </c>
      <c r="T205" s="10" t="e">
        <f t="shared" ca="1" si="51"/>
        <v>#VALUE!</v>
      </c>
      <c r="U205" s="45" t="e">
        <f t="shared" ca="1" si="52"/>
        <v>#VALUE!</v>
      </c>
      <c r="V205" s="180" t="e">
        <f ca="1">Q205*1000000000/($B$22*'1a. Spredningsmodell input'!$C$26*1000)</f>
        <v>#VALUE!</v>
      </c>
      <c r="W205" s="44" t="e">
        <f t="shared" ca="1" si="53"/>
        <v>#VALUE!</v>
      </c>
      <c r="X205" s="167" t="e">
        <f t="shared" ca="1" si="54"/>
        <v>#VALUE!</v>
      </c>
      <c r="Y205" s="102" t="e">
        <f ca="1">(U205/1000000)*('1a. Spredningsmodell input'!$B$49)*'1a. Spredningsmodell input'!$C$35</f>
        <v>#VALUE!</v>
      </c>
      <c r="Z205" s="37" t="e">
        <f ca="1">(V205/1000000)*('1a. Spredningsmodell input'!$B$49)*'1a. Spredningsmodell input'!$C$35</f>
        <v>#VALUE!</v>
      </c>
      <c r="AA205" s="37" t="e">
        <f t="shared" ca="1" si="55"/>
        <v>#VALUE!</v>
      </c>
      <c r="AB205" s="1" t="e">
        <f t="shared" ca="1" si="56"/>
        <v>#VALUE!</v>
      </c>
      <c r="AC205" s="37" t="e">
        <f t="shared" ca="1" si="57"/>
        <v>#VALUE!</v>
      </c>
    </row>
    <row r="206" spans="7:29" x14ac:dyDescent="0.35">
      <c r="G206">
        <v>935</v>
      </c>
      <c r="H206">
        <f>'1a. Spredningsmodell input'!$I$2+G206</f>
        <v>935</v>
      </c>
      <c r="I206" t="e">
        <f t="shared" ca="1" si="41"/>
        <v>#VALUE!</v>
      </c>
      <c r="J206" t="e">
        <f t="shared" ca="1" si="42"/>
        <v>#VALUE!</v>
      </c>
      <c r="K206" t="e">
        <f t="shared" ca="1" si="43"/>
        <v>#VALUE!</v>
      </c>
      <c r="L206" t="e">
        <f t="shared" ca="1" si="58"/>
        <v>#VALUE!</v>
      </c>
      <c r="M206" t="e">
        <f t="shared" ca="1" si="44"/>
        <v>#VALUE!</v>
      </c>
      <c r="N206" s="22" t="e">
        <f t="shared" ca="1" si="45"/>
        <v>#VALUE!</v>
      </c>
      <c r="O206" t="e">
        <f t="shared" ca="1" si="46"/>
        <v>#VALUE!</v>
      </c>
      <c r="P206" s="31" t="e">
        <f t="shared" ca="1" si="47"/>
        <v>#VALUE!</v>
      </c>
      <c r="Q206" s="31" t="e">
        <f t="shared" ca="1" si="48"/>
        <v>#VALUE!</v>
      </c>
      <c r="R206" s="31" t="e">
        <f t="shared" ca="1" si="49"/>
        <v>#VALUE!</v>
      </c>
      <c r="S206" s="10" t="e">
        <f t="shared" ca="1" si="50"/>
        <v>#VALUE!</v>
      </c>
      <c r="T206" s="10" t="e">
        <f t="shared" ca="1" si="51"/>
        <v>#VALUE!</v>
      </c>
      <c r="U206" s="45" t="e">
        <f t="shared" ca="1" si="52"/>
        <v>#VALUE!</v>
      </c>
      <c r="V206" s="180" t="e">
        <f ca="1">Q206*1000000000/($B$22*'1a. Spredningsmodell input'!$C$26*1000)</f>
        <v>#VALUE!</v>
      </c>
      <c r="W206" s="44" t="e">
        <f t="shared" ca="1" si="53"/>
        <v>#VALUE!</v>
      </c>
      <c r="X206" s="167" t="e">
        <f t="shared" ca="1" si="54"/>
        <v>#VALUE!</v>
      </c>
      <c r="Y206" s="102" t="e">
        <f ca="1">(U206/1000000)*('1a. Spredningsmodell input'!$B$49)*'1a. Spredningsmodell input'!$C$35</f>
        <v>#VALUE!</v>
      </c>
      <c r="Z206" s="37" t="e">
        <f ca="1">(V206/1000000)*('1a. Spredningsmodell input'!$B$49)*'1a. Spredningsmodell input'!$C$35</f>
        <v>#VALUE!</v>
      </c>
      <c r="AA206" s="37" t="e">
        <f t="shared" ca="1" si="55"/>
        <v>#VALUE!</v>
      </c>
      <c r="AB206" s="1" t="e">
        <f t="shared" ca="1" si="56"/>
        <v>#VALUE!</v>
      </c>
      <c r="AC206" s="37" t="e">
        <f t="shared" ca="1" si="57"/>
        <v>#VALUE!</v>
      </c>
    </row>
    <row r="207" spans="7:29" x14ac:dyDescent="0.35">
      <c r="G207">
        <v>940</v>
      </c>
      <c r="H207">
        <f>'1a. Spredningsmodell input'!$I$2+G207</f>
        <v>940</v>
      </c>
      <c r="I207" t="e">
        <f t="shared" ca="1" si="41"/>
        <v>#VALUE!</v>
      </c>
      <c r="J207" t="e">
        <f t="shared" ca="1" si="42"/>
        <v>#VALUE!</v>
      </c>
      <c r="K207" t="e">
        <f t="shared" ca="1" si="43"/>
        <v>#VALUE!</v>
      </c>
      <c r="L207" t="e">
        <f t="shared" ca="1" si="58"/>
        <v>#VALUE!</v>
      </c>
      <c r="M207" t="e">
        <f t="shared" ca="1" si="44"/>
        <v>#VALUE!</v>
      </c>
      <c r="N207" s="22" t="e">
        <f t="shared" ca="1" si="45"/>
        <v>#VALUE!</v>
      </c>
      <c r="O207" t="e">
        <f t="shared" ca="1" si="46"/>
        <v>#VALUE!</v>
      </c>
      <c r="P207" s="31" t="e">
        <f t="shared" ca="1" si="47"/>
        <v>#VALUE!</v>
      </c>
      <c r="Q207" s="31" t="e">
        <f t="shared" ca="1" si="48"/>
        <v>#VALUE!</v>
      </c>
      <c r="R207" s="31" t="e">
        <f t="shared" ca="1" si="49"/>
        <v>#VALUE!</v>
      </c>
      <c r="S207" s="10" t="e">
        <f t="shared" ca="1" si="50"/>
        <v>#VALUE!</v>
      </c>
      <c r="T207" s="10" t="e">
        <f t="shared" ca="1" si="51"/>
        <v>#VALUE!</v>
      </c>
      <c r="U207" s="45" t="e">
        <f t="shared" ca="1" si="52"/>
        <v>#VALUE!</v>
      </c>
      <c r="V207" s="180" t="e">
        <f ca="1">Q207*1000000000/($B$22*'1a. Spredningsmodell input'!$C$26*1000)</f>
        <v>#VALUE!</v>
      </c>
      <c r="W207" s="44" t="e">
        <f t="shared" ca="1" si="53"/>
        <v>#VALUE!</v>
      </c>
      <c r="X207" s="167" t="e">
        <f t="shared" ca="1" si="54"/>
        <v>#VALUE!</v>
      </c>
      <c r="Y207" s="102" t="e">
        <f ca="1">(U207/1000000)*('1a. Spredningsmodell input'!$B$49)*'1a. Spredningsmodell input'!$C$35</f>
        <v>#VALUE!</v>
      </c>
      <c r="Z207" s="37" t="e">
        <f ca="1">(V207/1000000)*('1a. Spredningsmodell input'!$B$49)*'1a. Spredningsmodell input'!$C$35</f>
        <v>#VALUE!</v>
      </c>
      <c r="AA207" s="37" t="e">
        <f t="shared" ca="1" si="55"/>
        <v>#VALUE!</v>
      </c>
      <c r="AB207" s="1" t="e">
        <f t="shared" ca="1" si="56"/>
        <v>#VALUE!</v>
      </c>
      <c r="AC207" s="37" t="e">
        <f t="shared" ca="1" si="57"/>
        <v>#VALUE!</v>
      </c>
    </row>
    <row r="208" spans="7:29" x14ac:dyDescent="0.35">
      <c r="G208">
        <v>945</v>
      </c>
      <c r="H208">
        <f>'1a. Spredningsmodell input'!$I$2+G208</f>
        <v>945</v>
      </c>
      <c r="I208" t="e">
        <f t="shared" ca="1" si="41"/>
        <v>#VALUE!</v>
      </c>
      <c r="J208" t="e">
        <f t="shared" ca="1" si="42"/>
        <v>#VALUE!</v>
      </c>
      <c r="K208" t="e">
        <f t="shared" ca="1" si="43"/>
        <v>#VALUE!</v>
      </c>
      <c r="L208" t="e">
        <f t="shared" ca="1" si="58"/>
        <v>#VALUE!</v>
      </c>
      <c r="M208" t="e">
        <f t="shared" ca="1" si="44"/>
        <v>#VALUE!</v>
      </c>
      <c r="N208" s="22" t="e">
        <f t="shared" ca="1" si="45"/>
        <v>#VALUE!</v>
      </c>
      <c r="O208" t="e">
        <f t="shared" ca="1" si="46"/>
        <v>#VALUE!</v>
      </c>
      <c r="P208" s="31" t="e">
        <f t="shared" ca="1" si="47"/>
        <v>#VALUE!</v>
      </c>
      <c r="Q208" s="31" t="e">
        <f t="shared" ca="1" si="48"/>
        <v>#VALUE!</v>
      </c>
      <c r="R208" s="31" t="e">
        <f t="shared" ca="1" si="49"/>
        <v>#VALUE!</v>
      </c>
      <c r="S208" s="10" t="e">
        <f t="shared" ca="1" si="50"/>
        <v>#VALUE!</v>
      </c>
      <c r="T208" s="10" t="e">
        <f t="shared" ca="1" si="51"/>
        <v>#VALUE!</v>
      </c>
      <c r="U208" s="45" t="e">
        <f t="shared" ca="1" si="52"/>
        <v>#VALUE!</v>
      </c>
      <c r="V208" s="180" t="e">
        <f ca="1">Q208*1000000000/($B$22*'1a. Spredningsmodell input'!$C$26*1000)</f>
        <v>#VALUE!</v>
      </c>
      <c r="W208" s="44" t="e">
        <f t="shared" ca="1" si="53"/>
        <v>#VALUE!</v>
      </c>
      <c r="X208" s="167" t="e">
        <f t="shared" ca="1" si="54"/>
        <v>#VALUE!</v>
      </c>
      <c r="Y208" s="102" t="e">
        <f ca="1">(U208/1000000)*('1a. Spredningsmodell input'!$B$49)*'1a. Spredningsmodell input'!$C$35</f>
        <v>#VALUE!</v>
      </c>
      <c r="Z208" s="37" t="e">
        <f ca="1">(V208/1000000)*('1a. Spredningsmodell input'!$B$49)*'1a. Spredningsmodell input'!$C$35</f>
        <v>#VALUE!</v>
      </c>
      <c r="AA208" s="37" t="e">
        <f t="shared" ca="1" si="55"/>
        <v>#VALUE!</v>
      </c>
      <c r="AB208" s="1" t="e">
        <f t="shared" ca="1" si="56"/>
        <v>#VALUE!</v>
      </c>
      <c r="AC208" s="37" t="e">
        <f t="shared" ca="1" si="57"/>
        <v>#VALUE!</v>
      </c>
    </row>
    <row r="209" spans="7:29" x14ac:dyDescent="0.35">
      <c r="G209">
        <v>950</v>
      </c>
      <c r="H209">
        <f>'1a. Spredningsmodell input'!$I$2+G209</f>
        <v>950</v>
      </c>
      <c r="I209" t="e">
        <f t="shared" ca="1" si="41"/>
        <v>#VALUE!</v>
      </c>
      <c r="J209" t="e">
        <f t="shared" ca="1" si="42"/>
        <v>#VALUE!</v>
      </c>
      <c r="K209" t="e">
        <f t="shared" ca="1" si="43"/>
        <v>#VALUE!</v>
      </c>
      <c r="L209" t="e">
        <f t="shared" ca="1" si="58"/>
        <v>#VALUE!</v>
      </c>
      <c r="M209" t="e">
        <f t="shared" ca="1" si="44"/>
        <v>#VALUE!</v>
      </c>
      <c r="N209" s="22" t="e">
        <f t="shared" ca="1" si="45"/>
        <v>#VALUE!</v>
      </c>
      <c r="O209" t="e">
        <f t="shared" ca="1" si="46"/>
        <v>#VALUE!</v>
      </c>
      <c r="P209" s="31" t="e">
        <f t="shared" ca="1" si="47"/>
        <v>#VALUE!</v>
      </c>
      <c r="Q209" s="31" t="e">
        <f t="shared" ca="1" si="48"/>
        <v>#VALUE!</v>
      </c>
      <c r="R209" s="31" t="e">
        <f t="shared" ca="1" si="49"/>
        <v>#VALUE!</v>
      </c>
      <c r="S209" s="10" t="e">
        <f t="shared" ca="1" si="50"/>
        <v>#VALUE!</v>
      </c>
      <c r="T209" s="10" t="e">
        <f t="shared" ca="1" si="51"/>
        <v>#VALUE!</v>
      </c>
      <c r="U209" s="45" t="e">
        <f t="shared" ca="1" si="52"/>
        <v>#VALUE!</v>
      </c>
      <c r="V209" s="180" t="e">
        <f ca="1">Q209*1000000000/($B$22*'1a. Spredningsmodell input'!$C$26*1000)</f>
        <v>#VALUE!</v>
      </c>
      <c r="W209" s="44" t="e">
        <f t="shared" ca="1" si="53"/>
        <v>#VALUE!</v>
      </c>
      <c r="X209" s="167" t="e">
        <f t="shared" ca="1" si="54"/>
        <v>#VALUE!</v>
      </c>
      <c r="Y209" s="102" t="e">
        <f ca="1">(U209/1000000)*('1a. Spredningsmodell input'!$B$49)*'1a. Spredningsmodell input'!$C$35</f>
        <v>#VALUE!</v>
      </c>
      <c r="Z209" s="37" t="e">
        <f ca="1">(V209/1000000)*('1a. Spredningsmodell input'!$B$49)*'1a. Spredningsmodell input'!$C$35</f>
        <v>#VALUE!</v>
      </c>
      <c r="AA209" s="37" t="e">
        <f t="shared" ca="1" si="55"/>
        <v>#VALUE!</v>
      </c>
      <c r="AB209" s="1" t="e">
        <f t="shared" ca="1" si="56"/>
        <v>#VALUE!</v>
      </c>
      <c r="AC209" s="37" t="e">
        <f t="shared" ca="1" si="57"/>
        <v>#VALUE!</v>
      </c>
    </row>
    <row r="210" spans="7:29" x14ac:dyDescent="0.35">
      <c r="G210">
        <v>955</v>
      </c>
      <c r="H210">
        <f>'1a. Spredningsmodell input'!$I$2+G210</f>
        <v>955</v>
      </c>
      <c r="I210" t="e">
        <f t="shared" ca="1" si="41"/>
        <v>#VALUE!</v>
      </c>
      <c r="J210" t="e">
        <f t="shared" ca="1" si="42"/>
        <v>#VALUE!</v>
      </c>
      <c r="K210" t="e">
        <f t="shared" ca="1" si="43"/>
        <v>#VALUE!</v>
      </c>
      <c r="L210" t="e">
        <f t="shared" ca="1" si="58"/>
        <v>#VALUE!</v>
      </c>
      <c r="M210" t="e">
        <f t="shared" ca="1" si="44"/>
        <v>#VALUE!</v>
      </c>
      <c r="N210" s="22" t="e">
        <f t="shared" ca="1" si="45"/>
        <v>#VALUE!</v>
      </c>
      <c r="O210" t="e">
        <f t="shared" ca="1" si="46"/>
        <v>#VALUE!</v>
      </c>
      <c r="P210" s="18" t="e">
        <f t="shared" ca="1" si="47"/>
        <v>#VALUE!</v>
      </c>
      <c r="Q210" s="18" t="e">
        <f t="shared" ca="1" si="48"/>
        <v>#VALUE!</v>
      </c>
      <c r="R210" s="19" t="e">
        <f t="shared" ca="1" si="49"/>
        <v>#VALUE!</v>
      </c>
      <c r="S210" s="10" t="e">
        <f t="shared" ca="1" si="50"/>
        <v>#VALUE!</v>
      </c>
      <c r="T210" s="10" t="e">
        <f t="shared" ca="1" si="51"/>
        <v>#VALUE!</v>
      </c>
      <c r="U210" s="45" t="e">
        <f t="shared" ca="1" si="52"/>
        <v>#VALUE!</v>
      </c>
      <c r="V210" s="180" t="e">
        <f ca="1">Q210*1000000000/($B$22*'1a. Spredningsmodell input'!$C$26*1000)</f>
        <v>#VALUE!</v>
      </c>
      <c r="W210" s="44" t="e">
        <f t="shared" ca="1" si="53"/>
        <v>#VALUE!</v>
      </c>
      <c r="X210" s="167" t="e">
        <f t="shared" ca="1" si="54"/>
        <v>#VALUE!</v>
      </c>
      <c r="Y210" s="102" t="e">
        <f ca="1">(U210/1000000)*('1a. Spredningsmodell input'!$B$49)*'1a. Spredningsmodell input'!$C$35</f>
        <v>#VALUE!</v>
      </c>
      <c r="Z210" s="37" t="e">
        <f ca="1">(V210/1000000)*('1a. Spredningsmodell input'!$B$49)*'1a. Spredningsmodell input'!$C$35</f>
        <v>#VALUE!</v>
      </c>
      <c r="AA210" s="37" t="e">
        <f t="shared" ca="1" si="55"/>
        <v>#VALUE!</v>
      </c>
      <c r="AB210" s="1" t="e">
        <f t="shared" ca="1" si="56"/>
        <v>#VALUE!</v>
      </c>
      <c r="AC210" s="37" t="e">
        <f t="shared" ca="1" si="57"/>
        <v>#VALUE!</v>
      </c>
    </row>
    <row r="211" spans="7:29" x14ac:dyDescent="0.35">
      <c r="G211">
        <v>960</v>
      </c>
      <c r="H211">
        <f>'1a. Spredningsmodell input'!$I$2+G211</f>
        <v>960</v>
      </c>
      <c r="I211" t="e">
        <f t="shared" ref="I211:I219" ca="1" si="59">($B$18-$B$24*$B$18)*EXP(-($B$33+$B$34)*$G211)</f>
        <v>#VALUE!</v>
      </c>
      <c r="J211" t="e">
        <f t="shared" ref="J211:J219" ca="1" si="60">($B$24*$B$18)*EXP(-($B$32)*$G211)</f>
        <v>#VALUE!</v>
      </c>
      <c r="K211" t="e">
        <f t="shared" ref="K211:K219" ca="1" si="61">(($I211+$J211)*1000000000)/($B$21*1000)</f>
        <v>#VALUE!</v>
      </c>
      <c r="L211" t="e">
        <f t="shared" ca="1" si="58"/>
        <v>#VALUE!</v>
      </c>
      <c r="M211" t="e">
        <f t="shared" ref="M211:M219" ca="1" si="62">1000*L211/$B$26</f>
        <v>#VALUE!</v>
      </c>
      <c r="N211" s="22" t="e">
        <f t="shared" ref="N211:N219" ca="1" si="63">($B$18-$B$24*$B$18-I211)*($B$33/($B$33+$B$34))</f>
        <v>#VALUE!</v>
      </c>
      <c r="O211" t="e">
        <f t="shared" ref="O211:O219" ca="1" si="64">($B$24*$B$18)-J211</f>
        <v>#VALUE!</v>
      </c>
      <c r="P211" s="31" t="e">
        <f t="shared" ref="P211:P219" ca="1" si="65">($B$19+N211)*EXP(-($B$37+$B$38)*$G211)</f>
        <v>#VALUE!</v>
      </c>
      <c r="Q211" s="31" t="e">
        <f t="shared" ref="Q211:Q219" ca="1" si="66">($B$24*$B$19+O211)*EXP(-($B$36)*$G211)</f>
        <v>#VALUE!</v>
      </c>
      <c r="R211" s="31" t="e">
        <f t="shared" ref="R211:R219" ca="1" si="67">(($P211+$Q211)*1000000000)/($B$22*1000)</f>
        <v>#VALUE!</v>
      </c>
      <c r="S211" s="10" t="e">
        <f t="shared" ref="S211:S219" ca="1" si="68">0.001*R211/($B$30+1/$B$29)</f>
        <v>#VALUE!</v>
      </c>
      <c r="T211" s="10" t="e">
        <f t="shared" ref="T211:T219" ca="1" si="69">1000*S211/$B$29+Q211*1000000000/($B$22*1000)</f>
        <v>#VALUE!</v>
      </c>
      <c r="U211" s="45" t="e">
        <f t="shared" ref="U211:U219" ca="1" si="70">1000*S211/$B$29</f>
        <v>#VALUE!</v>
      </c>
      <c r="V211" s="180" t="e">
        <f ca="1">Q211*1000000000/($B$22*'1a. Spredningsmodell input'!$C$26*1000)</f>
        <v>#VALUE!</v>
      </c>
      <c r="W211" s="44" t="e">
        <f t="shared" ref="W211:W219" ca="1" si="71">($B$20+$B$39*($B$19+$B$35*($B$18*(1-$B$24))*(1-EXP(-($B$33+$B$34)*G211)))*(1-EXP(-($B$37+$B$38)*G211)))</f>
        <v>#VALUE!</v>
      </c>
      <c r="X211" s="167" t="e">
        <f t="shared" ref="X211:X219" ca="1" si="72">((($B$18*($B$24))*(1-EXP(-($B$32)*G211)))*(1-EXP(-($B$36)*G211)))</f>
        <v>#VALUE!</v>
      </c>
      <c r="Y211" s="102" t="e">
        <f ca="1">(U211/1000000)*('1a. Spredningsmodell input'!$B$49)*'1a. Spredningsmodell input'!$C$35</f>
        <v>#VALUE!</v>
      </c>
      <c r="Z211" s="37" t="e">
        <f ca="1">(V211/1000000)*('1a. Spredningsmodell input'!$B$49)*'1a. Spredningsmodell input'!$C$35</f>
        <v>#VALUE!</v>
      </c>
      <c r="AA211" s="37" t="e">
        <f t="shared" ref="AA211:AA219" ca="1" si="73">($B$20)*EXP(-($B$42+$B$41)*$G211)+Y211*EXP(-($B$42)*$B$50)</f>
        <v>#VALUE!</v>
      </c>
      <c r="AB211" s="1" t="e">
        <f t="shared" ref="AB211:AB219" ca="1" si="74">Z211+($B$24*$B$20)*EXP(-($B$40)*$G211)</f>
        <v>#VALUE!</v>
      </c>
      <c r="AC211" s="37" t="e">
        <f t="shared" ref="AC211:AC219" ca="1" si="75">(AA211+AB211)*1000000000/($B$23*1000)</f>
        <v>#VALUE!</v>
      </c>
    </row>
    <row r="212" spans="7:29" x14ac:dyDescent="0.35">
      <c r="G212">
        <v>965</v>
      </c>
      <c r="H212">
        <f>'1a. Spredningsmodell input'!$I$2+G212</f>
        <v>965</v>
      </c>
      <c r="I212" t="e">
        <f t="shared" ca="1" si="59"/>
        <v>#VALUE!</v>
      </c>
      <c r="J212" t="e">
        <f t="shared" ca="1" si="60"/>
        <v>#VALUE!</v>
      </c>
      <c r="K212" t="e">
        <f t="shared" ca="1" si="61"/>
        <v>#VALUE!</v>
      </c>
      <c r="L212" t="e">
        <f t="shared" ref="L212:L219" ca="1" si="76">0.001*K212/($B$27+$B$28/$B$26)</f>
        <v>#VALUE!</v>
      </c>
      <c r="M212" t="e">
        <f t="shared" ca="1" si="62"/>
        <v>#VALUE!</v>
      </c>
      <c r="N212" s="22" t="e">
        <f t="shared" ca="1" si="63"/>
        <v>#VALUE!</v>
      </c>
      <c r="O212" t="e">
        <f t="shared" ca="1" si="64"/>
        <v>#VALUE!</v>
      </c>
      <c r="P212" s="31" t="e">
        <f t="shared" ca="1" si="65"/>
        <v>#VALUE!</v>
      </c>
      <c r="Q212" s="31" t="e">
        <f t="shared" ca="1" si="66"/>
        <v>#VALUE!</v>
      </c>
      <c r="R212" s="31" t="e">
        <f t="shared" ca="1" si="67"/>
        <v>#VALUE!</v>
      </c>
      <c r="S212" s="10" t="e">
        <f t="shared" ca="1" si="68"/>
        <v>#VALUE!</v>
      </c>
      <c r="T212" s="10" t="e">
        <f t="shared" ca="1" si="69"/>
        <v>#VALUE!</v>
      </c>
      <c r="U212" s="45" t="e">
        <f t="shared" ca="1" si="70"/>
        <v>#VALUE!</v>
      </c>
      <c r="V212" s="180" t="e">
        <f ca="1">Q212*1000000000/($B$22*'1a. Spredningsmodell input'!$C$26*1000)</f>
        <v>#VALUE!</v>
      </c>
      <c r="W212" s="44" t="e">
        <f t="shared" ca="1" si="71"/>
        <v>#VALUE!</v>
      </c>
      <c r="X212" s="167" t="e">
        <f t="shared" ca="1" si="72"/>
        <v>#VALUE!</v>
      </c>
      <c r="Y212" s="102" t="e">
        <f ca="1">(U212/1000000)*('1a. Spredningsmodell input'!$B$49)*'1a. Spredningsmodell input'!$C$35</f>
        <v>#VALUE!</v>
      </c>
      <c r="Z212" s="37" t="e">
        <f ca="1">(V212/1000000)*('1a. Spredningsmodell input'!$B$49)*'1a. Spredningsmodell input'!$C$35</f>
        <v>#VALUE!</v>
      </c>
      <c r="AA212" s="37" t="e">
        <f t="shared" ca="1" si="73"/>
        <v>#VALUE!</v>
      </c>
      <c r="AB212" s="1" t="e">
        <f t="shared" ca="1" si="74"/>
        <v>#VALUE!</v>
      </c>
      <c r="AC212" s="37" t="e">
        <f t="shared" ca="1" si="75"/>
        <v>#VALUE!</v>
      </c>
    </row>
    <row r="213" spans="7:29" x14ac:dyDescent="0.35">
      <c r="G213">
        <v>970</v>
      </c>
      <c r="H213">
        <f>'1a. Spredningsmodell input'!$I$2+G213</f>
        <v>970</v>
      </c>
      <c r="I213" t="e">
        <f t="shared" ca="1" si="59"/>
        <v>#VALUE!</v>
      </c>
      <c r="J213" t="e">
        <f t="shared" ca="1" si="60"/>
        <v>#VALUE!</v>
      </c>
      <c r="K213" t="e">
        <f t="shared" ca="1" si="61"/>
        <v>#VALUE!</v>
      </c>
      <c r="L213" t="e">
        <f t="shared" ca="1" si="76"/>
        <v>#VALUE!</v>
      </c>
      <c r="M213" t="e">
        <f t="shared" ca="1" si="62"/>
        <v>#VALUE!</v>
      </c>
      <c r="N213" s="22" t="e">
        <f t="shared" ca="1" si="63"/>
        <v>#VALUE!</v>
      </c>
      <c r="O213" t="e">
        <f t="shared" ca="1" si="64"/>
        <v>#VALUE!</v>
      </c>
      <c r="P213" s="31" t="e">
        <f t="shared" ca="1" si="65"/>
        <v>#VALUE!</v>
      </c>
      <c r="Q213" s="31" t="e">
        <f t="shared" ca="1" si="66"/>
        <v>#VALUE!</v>
      </c>
      <c r="R213" s="31" t="e">
        <f t="shared" ca="1" si="67"/>
        <v>#VALUE!</v>
      </c>
      <c r="S213" s="10" t="e">
        <f t="shared" ca="1" si="68"/>
        <v>#VALUE!</v>
      </c>
      <c r="T213" s="10" t="e">
        <f t="shared" ca="1" si="69"/>
        <v>#VALUE!</v>
      </c>
      <c r="U213" s="45" t="e">
        <f t="shared" ca="1" si="70"/>
        <v>#VALUE!</v>
      </c>
      <c r="V213" s="180" t="e">
        <f ca="1">Q213*1000000000/($B$22*'1a. Spredningsmodell input'!$C$26*1000)</f>
        <v>#VALUE!</v>
      </c>
      <c r="W213" s="44" t="e">
        <f t="shared" ca="1" si="71"/>
        <v>#VALUE!</v>
      </c>
      <c r="X213" s="167" t="e">
        <f t="shared" ca="1" si="72"/>
        <v>#VALUE!</v>
      </c>
      <c r="Y213" s="102" t="e">
        <f ca="1">(U213/1000000)*('1a. Spredningsmodell input'!$B$49)*'1a. Spredningsmodell input'!$C$35</f>
        <v>#VALUE!</v>
      </c>
      <c r="Z213" s="37" t="e">
        <f ca="1">(V213/1000000)*('1a. Spredningsmodell input'!$B$49)*'1a. Spredningsmodell input'!$C$35</f>
        <v>#VALUE!</v>
      </c>
      <c r="AA213" s="37" t="e">
        <f t="shared" ca="1" si="73"/>
        <v>#VALUE!</v>
      </c>
      <c r="AB213" s="1" t="e">
        <f t="shared" ca="1" si="74"/>
        <v>#VALUE!</v>
      </c>
      <c r="AC213" s="37" t="e">
        <f t="shared" ca="1" si="75"/>
        <v>#VALUE!</v>
      </c>
    </row>
    <row r="214" spans="7:29" x14ac:dyDescent="0.35">
      <c r="G214">
        <v>975</v>
      </c>
      <c r="H214">
        <f>'1a. Spredningsmodell input'!$I$2+G214</f>
        <v>975</v>
      </c>
      <c r="I214" t="e">
        <f t="shared" ca="1" si="59"/>
        <v>#VALUE!</v>
      </c>
      <c r="J214" t="e">
        <f t="shared" ca="1" si="60"/>
        <v>#VALUE!</v>
      </c>
      <c r="K214" t="e">
        <f t="shared" ca="1" si="61"/>
        <v>#VALUE!</v>
      </c>
      <c r="L214" t="e">
        <f t="shared" ca="1" si="76"/>
        <v>#VALUE!</v>
      </c>
      <c r="M214" t="e">
        <f t="shared" ca="1" si="62"/>
        <v>#VALUE!</v>
      </c>
      <c r="N214" s="22" t="e">
        <f t="shared" ca="1" si="63"/>
        <v>#VALUE!</v>
      </c>
      <c r="O214" t="e">
        <f t="shared" ca="1" si="64"/>
        <v>#VALUE!</v>
      </c>
      <c r="P214" s="31" t="e">
        <f t="shared" ca="1" si="65"/>
        <v>#VALUE!</v>
      </c>
      <c r="Q214" s="31" t="e">
        <f t="shared" ca="1" si="66"/>
        <v>#VALUE!</v>
      </c>
      <c r="R214" s="31" t="e">
        <f t="shared" ca="1" si="67"/>
        <v>#VALUE!</v>
      </c>
      <c r="S214" s="10" t="e">
        <f t="shared" ca="1" si="68"/>
        <v>#VALUE!</v>
      </c>
      <c r="T214" s="10" t="e">
        <f t="shared" ca="1" si="69"/>
        <v>#VALUE!</v>
      </c>
      <c r="U214" s="45" t="e">
        <f t="shared" ca="1" si="70"/>
        <v>#VALUE!</v>
      </c>
      <c r="V214" s="180" t="e">
        <f ca="1">Q214*1000000000/($B$22*'1a. Spredningsmodell input'!$C$26*1000)</f>
        <v>#VALUE!</v>
      </c>
      <c r="W214" s="44" t="e">
        <f t="shared" ca="1" si="71"/>
        <v>#VALUE!</v>
      </c>
      <c r="X214" s="167" t="e">
        <f t="shared" ca="1" si="72"/>
        <v>#VALUE!</v>
      </c>
      <c r="Y214" s="102" t="e">
        <f ca="1">(U214/1000000)*('1a. Spredningsmodell input'!$B$49)*'1a. Spredningsmodell input'!$C$35</f>
        <v>#VALUE!</v>
      </c>
      <c r="Z214" s="37" t="e">
        <f ca="1">(V214/1000000)*('1a. Spredningsmodell input'!$B$49)*'1a. Spredningsmodell input'!$C$35</f>
        <v>#VALUE!</v>
      </c>
      <c r="AA214" s="37" t="e">
        <f t="shared" ca="1" si="73"/>
        <v>#VALUE!</v>
      </c>
      <c r="AB214" s="1" t="e">
        <f t="shared" ca="1" si="74"/>
        <v>#VALUE!</v>
      </c>
      <c r="AC214" s="37" t="e">
        <f t="shared" ca="1" si="75"/>
        <v>#VALUE!</v>
      </c>
    </row>
    <row r="215" spans="7:29" x14ac:dyDescent="0.35">
      <c r="G215">
        <v>980</v>
      </c>
      <c r="H215">
        <f>'1a. Spredningsmodell input'!$I$2+G215</f>
        <v>980</v>
      </c>
      <c r="I215" t="e">
        <f t="shared" ca="1" si="59"/>
        <v>#VALUE!</v>
      </c>
      <c r="J215" t="e">
        <f t="shared" ca="1" si="60"/>
        <v>#VALUE!</v>
      </c>
      <c r="K215" t="e">
        <f t="shared" ca="1" si="61"/>
        <v>#VALUE!</v>
      </c>
      <c r="L215" t="e">
        <f t="shared" ca="1" si="76"/>
        <v>#VALUE!</v>
      </c>
      <c r="M215" t="e">
        <f t="shared" ca="1" si="62"/>
        <v>#VALUE!</v>
      </c>
      <c r="N215" s="22" t="e">
        <f t="shared" ca="1" si="63"/>
        <v>#VALUE!</v>
      </c>
      <c r="O215" t="e">
        <f t="shared" ca="1" si="64"/>
        <v>#VALUE!</v>
      </c>
      <c r="P215" s="31" t="e">
        <f t="shared" ca="1" si="65"/>
        <v>#VALUE!</v>
      </c>
      <c r="Q215" s="31" t="e">
        <f t="shared" ca="1" si="66"/>
        <v>#VALUE!</v>
      </c>
      <c r="R215" s="31" t="e">
        <f t="shared" ca="1" si="67"/>
        <v>#VALUE!</v>
      </c>
      <c r="S215" s="10" t="e">
        <f t="shared" ca="1" si="68"/>
        <v>#VALUE!</v>
      </c>
      <c r="T215" s="10" t="e">
        <f t="shared" ca="1" si="69"/>
        <v>#VALUE!</v>
      </c>
      <c r="U215" s="45" t="e">
        <f t="shared" ca="1" si="70"/>
        <v>#VALUE!</v>
      </c>
      <c r="V215" s="180" t="e">
        <f ca="1">Q215*1000000000/($B$22*'1a. Spredningsmodell input'!$C$26*1000)</f>
        <v>#VALUE!</v>
      </c>
      <c r="W215" s="44" t="e">
        <f t="shared" ca="1" si="71"/>
        <v>#VALUE!</v>
      </c>
      <c r="X215" s="167" t="e">
        <f t="shared" ca="1" si="72"/>
        <v>#VALUE!</v>
      </c>
      <c r="Y215" s="102" t="e">
        <f ca="1">(U215/1000000)*('1a. Spredningsmodell input'!$B$49)*'1a. Spredningsmodell input'!$C$35</f>
        <v>#VALUE!</v>
      </c>
      <c r="Z215" s="37" t="e">
        <f ca="1">(V215/1000000)*('1a. Spredningsmodell input'!$B$49)*'1a. Spredningsmodell input'!$C$35</f>
        <v>#VALUE!</v>
      </c>
      <c r="AA215" s="37" t="e">
        <f t="shared" ca="1" si="73"/>
        <v>#VALUE!</v>
      </c>
      <c r="AB215" s="1" t="e">
        <f t="shared" ca="1" si="74"/>
        <v>#VALUE!</v>
      </c>
      <c r="AC215" s="37" t="e">
        <f t="shared" ca="1" si="75"/>
        <v>#VALUE!</v>
      </c>
    </row>
    <row r="216" spans="7:29" x14ac:dyDescent="0.35">
      <c r="G216">
        <v>985</v>
      </c>
      <c r="H216">
        <f>'1a. Spredningsmodell input'!$I$2+G216</f>
        <v>985</v>
      </c>
      <c r="I216" t="e">
        <f t="shared" ca="1" si="59"/>
        <v>#VALUE!</v>
      </c>
      <c r="J216" t="e">
        <f t="shared" ca="1" si="60"/>
        <v>#VALUE!</v>
      </c>
      <c r="K216" t="e">
        <f t="shared" ca="1" si="61"/>
        <v>#VALUE!</v>
      </c>
      <c r="L216" t="e">
        <f t="shared" ca="1" si="76"/>
        <v>#VALUE!</v>
      </c>
      <c r="M216" t="e">
        <f t="shared" ca="1" si="62"/>
        <v>#VALUE!</v>
      </c>
      <c r="N216" s="22" t="e">
        <f t="shared" ca="1" si="63"/>
        <v>#VALUE!</v>
      </c>
      <c r="O216" t="e">
        <f t="shared" ca="1" si="64"/>
        <v>#VALUE!</v>
      </c>
      <c r="P216" s="18" t="e">
        <f t="shared" ca="1" si="65"/>
        <v>#VALUE!</v>
      </c>
      <c r="Q216" s="18" t="e">
        <f t="shared" ca="1" si="66"/>
        <v>#VALUE!</v>
      </c>
      <c r="R216" s="19" t="e">
        <f t="shared" ca="1" si="67"/>
        <v>#VALUE!</v>
      </c>
      <c r="S216" s="10" t="e">
        <f t="shared" ca="1" si="68"/>
        <v>#VALUE!</v>
      </c>
      <c r="T216" s="10" t="e">
        <f t="shared" ca="1" si="69"/>
        <v>#VALUE!</v>
      </c>
      <c r="U216" s="45" t="e">
        <f t="shared" ca="1" si="70"/>
        <v>#VALUE!</v>
      </c>
      <c r="V216" s="180" t="e">
        <f ca="1">Q216*1000000000/($B$22*'1a. Spredningsmodell input'!$C$26*1000)</f>
        <v>#VALUE!</v>
      </c>
      <c r="W216" s="44" t="e">
        <f t="shared" ca="1" si="71"/>
        <v>#VALUE!</v>
      </c>
      <c r="X216" s="167" t="e">
        <f t="shared" ca="1" si="72"/>
        <v>#VALUE!</v>
      </c>
      <c r="Y216" s="102" t="e">
        <f ca="1">(U216/1000000)*('1a. Spredningsmodell input'!$B$49)*'1a. Spredningsmodell input'!$C$35</f>
        <v>#VALUE!</v>
      </c>
      <c r="Z216" s="37" t="e">
        <f ca="1">(V216/1000000)*('1a. Spredningsmodell input'!$B$49)*'1a. Spredningsmodell input'!$C$35</f>
        <v>#VALUE!</v>
      </c>
      <c r="AA216" s="37" t="e">
        <f t="shared" ca="1" si="73"/>
        <v>#VALUE!</v>
      </c>
      <c r="AB216" s="1" t="e">
        <f t="shared" ca="1" si="74"/>
        <v>#VALUE!</v>
      </c>
      <c r="AC216" s="37" t="e">
        <f t="shared" ca="1" si="75"/>
        <v>#VALUE!</v>
      </c>
    </row>
    <row r="217" spans="7:29" x14ac:dyDescent="0.35">
      <c r="G217">
        <v>990</v>
      </c>
      <c r="H217">
        <f>'1a. Spredningsmodell input'!$I$2+G217</f>
        <v>990</v>
      </c>
      <c r="I217" t="e">
        <f t="shared" ca="1" si="59"/>
        <v>#VALUE!</v>
      </c>
      <c r="J217" t="e">
        <f t="shared" ca="1" si="60"/>
        <v>#VALUE!</v>
      </c>
      <c r="K217" t="e">
        <f t="shared" ca="1" si="61"/>
        <v>#VALUE!</v>
      </c>
      <c r="L217" t="e">
        <f t="shared" ca="1" si="76"/>
        <v>#VALUE!</v>
      </c>
      <c r="M217" t="e">
        <f t="shared" ca="1" si="62"/>
        <v>#VALUE!</v>
      </c>
      <c r="N217" s="22" t="e">
        <f t="shared" ca="1" si="63"/>
        <v>#VALUE!</v>
      </c>
      <c r="O217" t="e">
        <f t="shared" ca="1" si="64"/>
        <v>#VALUE!</v>
      </c>
      <c r="P217" s="31" t="e">
        <f t="shared" ca="1" si="65"/>
        <v>#VALUE!</v>
      </c>
      <c r="Q217" s="31" t="e">
        <f t="shared" ca="1" si="66"/>
        <v>#VALUE!</v>
      </c>
      <c r="R217" s="31" t="e">
        <f t="shared" ca="1" si="67"/>
        <v>#VALUE!</v>
      </c>
      <c r="S217" s="10" t="e">
        <f t="shared" ca="1" si="68"/>
        <v>#VALUE!</v>
      </c>
      <c r="T217" s="10" t="e">
        <f t="shared" ca="1" si="69"/>
        <v>#VALUE!</v>
      </c>
      <c r="U217" s="45" t="e">
        <f t="shared" ca="1" si="70"/>
        <v>#VALUE!</v>
      </c>
      <c r="V217" s="180" t="e">
        <f ca="1">Q217*1000000000/($B$22*'1a. Spredningsmodell input'!$C$26*1000)</f>
        <v>#VALUE!</v>
      </c>
      <c r="W217" s="44" t="e">
        <f t="shared" ca="1" si="71"/>
        <v>#VALUE!</v>
      </c>
      <c r="X217" s="167" t="e">
        <f t="shared" ca="1" si="72"/>
        <v>#VALUE!</v>
      </c>
      <c r="Y217" s="102" t="e">
        <f ca="1">(U217/1000000)*('1a. Spredningsmodell input'!$B$49)*'1a. Spredningsmodell input'!$C$35</f>
        <v>#VALUE!</v>
      </c>
      <c r="Z217" s="37" t="e">
        <f ca="1">(V217/1000000)*('1a. Spredningsmodell input'!$B$49)*'1a. Spredningsmodell input'!$C$35</f>
        <v>#VALUE!</v>
      </c>
      <c r="AA217" s="37" t="e">
        <f t="shared" ca="1" si="73"/>
        <v>#VALUE!</v>
      </c>
      <c r="AB217" s="1" t="e">
        <f t="shared" ca="1" si="74"/>
        <v>#VALUE!</v>
      </c>
      <c r="AC217" s="37" t="e">
        <f t="shared" ca="1" si="75"/>
        <v>#VALUE!</v>
      </c>
    </row>
    <row r="218" spans="7:29" x14ac:dyDescent="0.35">
      <c r="G218">
        <v>995</v>
      </c>
      <c r="H218">
        <f>'1a. Spredningsmodell input'!$I$2+G218</f>
        <v>995</v>
      </c>
      <c r="I218" t="e">
        <f t="shared" ca="1" si="59"/>
        <v>#VALUE!</v>
      </c>
      <c r="J218" t="e">
        <f t="shared" ca="1" si="60"/>
        <v>#VALUE!</v>
      </c>
      <c r="K218" t="e">
        <f t="shared" ca="1" si="61"/>
        <v>#VALUE!</v>
      </c>
      <c r="L218" t="e">
        <f t="shared" ca="1" si="76"/>
        <v>#VALUE!</v>
      </c>
      <c r="M218" t="e">
        <f t="shared" ca="1" si="62"/>
        <v>#VALUE!</v>
      </c>
      <c r="N218" s="22" t="e">
        <f t="shared" ca="1" si="63"/>
        <v>#VALUE!</v>
      </c>
      <c r="O218" t="e">
        <f t="shared" ca="1" si="64"/>
        <v>#VALUE!</v>
      </c>
      <c r="P218" s="31" t="e">
        <f t="shared" ca="1" si="65"/>
        <v>#VALUE!</v>
      </c>
      <c r="Q218" s="31" t="e">
        <f t="shared" ca="1" si="66"/>
        <v>#VALUE!</v>
      </c>
      <c r="R218" s="31" t="e">
        <f t="shared" ca="1" si="67"/>
        <v>#VALUE!</v>
      </c>
      <c r="S218" s="10" t="e">
        <f t="shared" ca="1" si="68"/>
        <v>#VALUE!</v>
      </c>
      <c r="T218" s="10" t="e">
        <f t="shared" ca="1" si="69"/>
        <v>#VALUE!</v>
      </c>
      <c r="U218" s="45" t="e">
        <f t="shared" ca="1" si="70"/>
        <v>#VALUE!</v>
      </c>
      <c r="V218" s="180" t="e">
        <f ca="1">Q218*1000000000/($B$22*'1a. Spredningsmodell input'!$C$26*1000)</f>
        <v>#VALUE!</v>
      </c>
      <c r="W218" s="44" t="e">
        <f t="shared" ca="1" si="71"/>
        <v>#VALUE!</v>
      </c>
      <c r="X218" s="167" t="e">
        <f t="shared" ca="1" si="72"/>
        <v>#VALUE!</v>
      </c>
      <c r="Y218" s="102" t="e">
        <f ca="1">(U218/1000000)*('1a. Spredningsmodell input'!$B$49)*'1a. Spredningsmodell input'!$C$35</f>
        <v>#VALUE!</v>
      </c>
      <c r="Z218" s="37" t="e">
        <f ca="1">(V218/1000000)*('1a. Spredningsmodell input'!$B$49)*'1a. Spredningsmodell input'!$C$35</f>
        <v>#VALUE!</v>
      </c>
      <c r="AA218" s="37" t="e">
        <f t="shared" ca="1" si="73"/>
        <v>#VALUE!</v>
      </c>
      <c r="AB218" s="1" t="e">
        <f t="shared" ca="1" si="74"/>
        <v>#VALUE!</v>
      </c>
      <c r="AC218" s="37" t="e">
        <f t="shared" ca="1" si="75"/>
        <v>#VALUE!</v>
      </c>
    </row>
    <row r="219" spans="7:29" x14ac:dyDescent="0.35">
      <c r="G219">
        <v>1000</v>
      </c>
      <c r="H219">
        <f>'1a. Spredningsmodell input'!$I$2+G219</f>
        <v>1000</v>
      </c>
      <c r="I219" t="e">
        <f t="shared" ca="1" si="59"/>
        <v>#VALUE!</v>
      </c>
      <c r="J219" t="e">
        <f t="shared" ca="1" si="60"/>
        <v>#VALUE!</v>
      </c>
      <c r="K219" t="e">
        <f t="shared" ca="1" si="61"/>
        <v>#VALUE!</v>
      </c>
      <c r="L219" t="e">
        <f t="shared" ca="1" si="76"/>
        <v>#VALUE!</v>
      </c>
      <c r="M219" t="e">
        <f t="shared" ca="1" si="62"/>
        <v>#VALUE!</v>
      </c>
      <c r="N219" s="22" t="e">
        <f t="shared" ca="1" si="63"/>
        <v>#VALUE!</v>
      </c>
      <c r="O219" t="e">
        <f t="shared" ca="1" si="64"/>
        <v>#VALUE!</v>
      </c>
      <c r="P219" s="31" t="e">
        <f t="shared" ca="1" si="65"/>
        <v>#VALUE!</v>
      </c>
      <c r="Q219" s="31" t="e">
        <f t="shared" ca="1" si="66"/>
        <v>#VALUE!</v>
      </c>
      <c r="R219" s="31" t="e">
        <f t="shared" ca="1" si="67"/>
        <v>#VALUE!</v>
      </c>
      <c r="S219" s="10" t="e">
        <f t="shared" ca="1" si="68"/>
        <v>#VALUE!</v>
      </c>
      <c r="T219" s="10" t="e">
        <f t="shared" ca="1" si="69"/>
        <v>#VALUE!</v>
      </c>
      <c r="U219" s="45" t="e">
        <f t="shared" ca="1" si="70"/>
        <v>#VALUE!</v>
      </c>
      <c r="V219" s="180" t="e">
        <f ca="1">Q219*1000000000/($B$22*'1a. Spredningsmodell input'!$C$26*1000)</f>
        <v>#VALUE!</v>
      </c>
      <c r="W219" s="44" t="e">
        <f t="shared" ca="1" si="71"/>
        <v>#VALUE!</v>
      </c>
      <c r="X219" s="167" t="e">
        <f t="shared" ca="1" si="72"/>
        <v>#VALUE!</v>
      </c>
      <c r="Y219" s="102" t="e">
        <f ca="1">(U219/1000000)*('1a. Spredningsmodell input'!$B$49)*'1a. Spredningsmodell input'!$C$35</f>
        <v>#VALUE!</v>
      </c>
      <c r="Z219" s="37" t="e">
        <f ca="1">(V219/1000000)*('1a. Spredningsmodell input'!$B$49)*'1a. Spredningsmodell input'!$C$35</f>
        <v>#VALUE!</v>
      </c>
      <c r="AA219" s="37" t="e">
        <f t="shared" ca="1" si="73"/>
        <v>#VALUE!</v>
      </c>
      <c r="AB219" s="1" t="e">
        <f t="shared" ca="1" si="74"/>
        <v>#VALUE!</v>
      </c>
      <c r="AC219" s="37" t="e">
        <f t="shared" ca="1" si="75"/>
        <v>#VALUE!</v>
      </c>
    </row>
  </sheetData>
  <conditionalFormatting sqref="AE141:AE1048576">
    <cfRule type="top10" dxfId="12" priority="2689" rank="1"/>
  </conditionalFormatting>
  <conditionalFormatting sqref="R19:R219">
    <cfRule type="top10" dxfId="11" priority="2690" rank="1"/>
  </conditionalFormatting>
  <conditionalFormatting sqref="AC19:AC219">
    <cfRule type="top10" dxfId="10" priority="2694" rank="1"/>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7558519241921"/>
    <pageSetUpPr fitToPage="1"/>
  </sheetPr>
  <dimension ref="A1:AI54"/>
  <sheetViews>
    <sheetView workbookViewId="0">
      <selection activeCell="D1" sqref="D1"/>
    </sheetView>
  </sheetViews>
  <sheetFormatPr baseColWidth="10" defaultColWidth="11.453125" defaultRowHeight="14.5" x14ac:dyDescent="0.35"/>
  <cols>
    <col min="2" max="2" width="12.54296875" customWidth="1"/>
    <col min="11" max="11" width="13.54296875" customWidth="1"/>
    <col min="15" max="17" width="13.54296875" bestFit="1" customWidth="1"/>
  </cols>
  <sheetData>
    <row r="1" spans="1:11" s="38" customFormat="1" ht="15" thickBot="1" x14ac:dyDescent="0.4">
      <c r="A1" s="389" t="s">
        <v>695</v>
      </c>
      <c r="B1" s="390"/>
      <c r="C1" s="390"/>
      <c r="D1" s="339">
        <v>4</v>
      </c>
    </row>
    <row r="3" spans="1:11" x14ac:dyDescent="0.35">
      <c r="A3" s="38" t="s">
        <v>211</v>
      </c>
      <c r="B3" t="str">
        <f ca="1">INDIRECT(ADDRESS($D$1,1,,,"Stoff"))</f>
        <v>Arsen</v>
      </c>
    </row>
    <row r="4" spans="1:11" x14ac:dyDescent="0.35">
      <c r="A4" s="38" t="s">
        <v>628</v>
      </c>
      <c r="B4" s="103" t="str">
        <f>IF('0 Sjekkliste'!B6=0,"",'0 Sjekkliste'!B6)</f>
        <v>Øvre grense TK2 eller 2 x normverdi</v>
      </c>
    </row>
    <row r="5" spans="1:11" x14ac:dyDescent="0.35">
      <c r="A5" s="38" t="s">
        <v>627</v>
      </c>
      <c r="B5" s="120">
        <f>IF('0 Sjekkliste'!B7=0,"",'0 Sjekkliste'!B7)</f>
        <v>43921</v>
      </c>
    </row>
    <row r="9" spans="1:11" x14ac:dyDescent="0.35">
      <c r="C9" t="str">
        <f ca="1">"Jord "&amp;B3</f>
        <v>Jord Arsen</v>
      </c>
      <c r="K9" t="str">
        <f ca="1">"Vann "&amp;B3</f>
        <v>Vann Arsen</v>
      </c>
    </row>
    <row r="28" spans="2:12" x14ac:dyDescent="0.35">
      <c r="B28" s="38" t="s">
        <v>688</v>
      </c>
      <c r="I28" s="38" t="s">
        <v>690</v>
      </c>
    </row>
    <row r="29" spans="2:12" x14ac:dyDescent="0.35">
      <c r="D29" s="10" t="str">
        <f ca="1">'Figur-Beregninger (hide)'!B18</f>
        <v/>
      </c>
      <c r="E29" t="s">
        <v>22</v>
      </c>
      <c r="I29" t="s">
        <v>78</v>
      </c>
      <c r="K29" s="41" t="e">
        <f ca="1">'Figur-Beregninger (hide)'!AA11</f>
        <v>#VALUE!</v>
      </c>
      <c r="L29" s="40" t="str">
        <f ca="1">IF(NOT(ISNUMBER(K29)),"","µg/L")</f>
        <v/>
      </c>
    </row>
    <row r="30" spans="2:12" x14ac:dyDescent="0.35">
      <c r="B30" s="38" t="s">
        <v>99</v>
      </c>
      <c r="F30" s="1"/>
      <c r="G30" s="1"/>
      <c r="H30" s="1"/>
      <c r="K30" s="42" t="e">
        <f ca="1">IF(NOT(ISNUMBER(K29)),'Figur-Beregninger (hide)'!AC19/'Figur-Beregninger (hide)'!$C$57,K29/'Figur-Beregninger (hide)'!$C$57)</f>
        <v>#VALUE!</v>
      </c>
      <c r="L30" s="40" t="str">
        <f ca="1">IF(NOT(ISNUMBER(K30)),"","x EQS eller PNEC")</f>
        <v/>
      </c>
    </row>
    <row r="31" spans="2:12" x14ac:dyDescent="0.35">
      <c r="B31" t="s">
        <v>98</v>
      </c>
      <c r="D31" s="3" t="e">
        <f ca="1">'Figur-Beregninger (hide)'!P3</f>
        <v>#VALUE!</v>
      </c>
      <c r="E31" t="s">
        <v>5</v>
      </c>
      <c r="F31" s="1"/>
      <c r="G31" s="1"/>
      <c r="H31" s="1"/>
      <c r="I31" t="s">
        <v>691</v>
      </c>
      <c r="K31" s="3" t="e">
        <f ca="1">'Figur-Beregninger (hide)'!AA12</f>
        <v>#VALUE!</v>
      </c>
      <c r="L31" s="40" t="str">
        <f ca="1">IF(NOT(ISNUMBER(K31)),"","år")</f>
        <v/>
      </c>
    </row>
    <row r="32" spans="2:12" x14ac:dyDescent="0.35">
      <c r="G32" s="1"/>
      <c r="H32" s="1"/>
      <c r="I32" t="s">
        <v>120</v>
      </c>
      <c r="K32" s="101" t="e">
        <f ca="1">IF(K29='Figur-Beregninger (hide)'!AA10,"fritt-løst","kolloidal")</f>
        <v>#VALUE!</v>
      </c>
    </row>
    <row r="33" spans="2:19" x14ac:dyDescent="0.35">
      <c r="B33" t="s">
        <v>77</v>
      </c>
      <c r="D33" s="10" t="e">
        <f ca="1">'Figur-Beregninger (hide)'!P11</f>
        <v>#VALUE!</v>
      </c>
      <c r="E33" t="s">
        <v>86</v>
      </c>
      <c r="F33" s="1"/>
    </row>
    <row r="34" spans="2:19" x14ac:dyDescent="0.35">
      <c r="D34" s="19" t="e">
        <f ca="1">D33/'Figur-Beregninger (hide)'!C54</f>
        <v>#VALUE!</v>
      </c>
      <c r="E34" s="40" t="s">
        <v>102</v>
      </c>
      <c r="I34" s="38" t="s">
        <v>693</v>
      </c>
    </row>
    <row r="35" spans="2:19" x14ac:dyDescent="0.35">
      <c r="I35" s="38" t="s">
        <v>80</v>
      </c>
      <c r="J35" s="38"/>
      <c r="K35" s="105" t="s">
        <v>22</v>
      </c>
      <c r="L35" s="105" t="s">
        <v>104</v>
      </c>
      <c r="R35" s="1"/>
      <c r="S35" s="1"/>
    </row>
    <row r="36" spans="2:19" x14ac:dyDescent="0.35">
      <c r="B36" t="s">
        <v>689</v>
      </c>
      <c r="D36" s="19" t="e">
        <f ca="1">'Figur-Beregninger (hide)'!P12</f>
        <v>#VALUE!</v>
      </c>
      <c r="E36" t="s">
        <v>4</v>
      </c>
      <c r="F36" s="38"/>
      <c r="I36" t="s">
        <v>87</v>
      </c>
      <c r="K36" s="87" t="e">
        <f ca="1">'Figur-Beregninger (hide)'!AC4+'Figur-Beregninger (hide)'!AC6</f>
        <v>#VALUE!</v>
      </c>
      <c r="L36" s="106" t="e">
        <f ca="1">K36/$D$29</f>
        <v>#VALUE!</v>
      </c>
      <c r="N36" s="1"/>
    </row>
    <row r="37" spans="2:19" x14ac:dyDescent="0.35">
      <c r="D37" s="19" t="e">
        <f ca="1">D36/'Figur-Beregninger (hide)'!$C$57</f>
        <v>#VALUE!</v>
      </c>
      <c r="E37" s="40" t="s">
        <v>103</v>
      </c>
      <c r="I37" t="s">
        <v>89</v>
      </c>
      <c r="K37" s="87" t="e">
        <f ca="1">'Figur-Beregninger (hide)'!AD4+'Figur-Beregninger (hide)'!AD6</f>
        <v>#VALUE!</v>
      </c>
      <c r="L37" s="107" t="e">
        <f ca="1">K37/$D$29</f>
        <v>#VALUE!</v>
      </c>
      <c r="N37" s="1"/>
    </row>
    <row r="38" spans="2:19" x14ac:dyDescent="0.35">
      <c r="I38" t="s">
        <v>79</v>
      </c>
      <c r="K38" s="87" t="e">
        <f ca="1">'Figur-Beregninger (hide)'!AE4+'Figur-Beregninger (hide)'!AE6</f>
        <v>#VALUE!</v>
      </c>
      <c r="L38" s="107" t="e">
        <f ca="1">K38/$D$29</f>
        <v>#VALUE!</v>
      </c>
      <c r="N38" s="1"/>
    </row>
    <row r="39" spans="2:19" x14ac:dyDescent="0.35">
      <c r="B39" s="38" t="s">
        <v>692</v>
      </c>
      <c r="C39" s="38"/>
      <c r="D39" s="38"/>
      <c r="E39" s="38"/>
      <c r="I39" t="s">
        <v>121</v>
      </c>
      <c r="K39" s="87" t="e">
        <f ca="1">IF(('Figur-Beregninger (hide)'!AA4+'Figur-Beregninger (hide)'!AA6)&gt;('Figur-Beregninger (hide)'!AB4+'Figur-Beregninger (hide)'!AB6),'Figur-Beregninger (hide)'!AA4+'Figur-Beregninger (hide)'!AA6,'Figur-Beregninger (hide)'!AB4+'Figur-Beregninger (hide)'!AB6)</f>
        <v>#VALUE!</v>
      </c>
      <c r="L39" s="107" t="e">
        <f ca="1">K39/$D$29</f>
        <v>#VALUE!</v>
      </c>
      <c r="N39" s="1"/>
    </row>
    <row r="40" spans="2:19" x14ac:dyDescent="0.35">
      <c r="B40" t="s">
        <v>689</v>
      </c>
      <c r="D40" s="43" t="str">
        <f ca="1">IF(ISERROR('Figur-Beregninger (hide)'!Q12),"-",'Figur-Beregninger (hide)'!Q12)</f>
        <v>-</v>
      </c>
      <c r="E40" t="str">
        <f ca="1">IF(D40="-","","µg/L")</f>
        <v/>
      </c>
      <c r="I40" t="s">
        <v>100</v>
      </c>
      <c r="K40" s="87" t="e">
        <f ca="1">'Figur-Beregninger (hide)'!AF4+'Figur-Beregninger (hide)'!AF6</f>
        <v>#VALUE!</v>
      </c>
      <c r="L40" s="107" t="e">
        <f ca="1">K40/$D$29</f>
        <v>#VALUE!</v>
      </c>
      <c r="N40" s="1"/>
    </row>
    <row r="41" spans="2:19" x14ac:dyDescent="0.35">
      <c r="D41" s="42" t="str">
        <f ca="1">IF(D40="-","",D40/'Figur-Beregninger (hide)'!$C$57)</f>
        <v/>
      </c>
      <c r="E41" s="40" t="str">
        <f ca="1">IF(NOT(ISNUMBER(D41)),"","x EQS eller PNEC")</f>
        <v/>
      </c>
      <c r="K41" s="89"/>
      <c r="L41" s="89"/>
      <c r="R41" s="1"/>
      <c r="S41" s="1"/>
    </row>
    <row r="42" spans="2:19" x14ac:dyDescent="0.35">
      <c r="B42" t="s">
        <v>88</v>
      </c>
      <c r="D42" s="43" t="str">
        <f ca="1">IF(ISERROR('Figur-Beregninger (hide)'!Q3),"ingen colloid transport",'Figur-Beregninger (hide)'!Q3)</f>
        <v>ingen colloid transport</v>
      </c>
      <c r="E42" s="40" t="str">
        <f ca="1">IF(NOT(ISNUMBER(D42)),"","år")</f>
        <v/>
      </c>
      <c r="I42" s="38" t="s">
        <v>694</v>
      </c>
      <c r="J42" s="105" t="s">
        <v>87</v>
      </c>
      <c r="K42" s="105" t="s">
        <v>89</v>
      </c>
      <c r="L42" s="105" t="s">
        <v>79</v>
      </c>
    </row>
    <row r="43" spans="2:19" x14ac:dyDescent="0.35">
      <c r="I43" s="38" t="s">
        <v>93</v>
      </c>
      <c r="J43" s="88" t="e">
        <f ca="1">'Figur-Beregninger (hide)'!R11</f>
        <v>#VALUE!</v>
      </c>
      <c r="K43" s="88" t="e">
        <f ca="1">'Figur-Beregninger (hide)'!S11</f>
        <v>#VALUE!</v>
      </c>
      <c r="L43" s="88" t="e">
        <f ca="1">'Figur-Beregninger (hide)'!T11</f>
        <v>#VALUE!</v>
      </c>
      <c r="M43" t="s">
        <v>86</v>
      </c>
      <c r="R43" s="24"/>
      <c r="S43" s="9"/>
    </row>
    <row r="44" spans="2:19" x14ac:dyDescent="0.35">
      <c r="I44" s="38" t="s">
        <v>689</v>
      </c>
      <c r="J44" s="88" t="e">
        <f ca="1">'Figur-Beregninger (hide)'!R12</f>
        <v>#VALUE!</v>
      </c>
      <c r="K44" s="88" t="e">
        <f ca="1">'Figur-Beregninger (hide)'!S12</f>
        <v>#VALUE!</v>
      </c>
      <c r="L44" s="88" t="e">
        <f ca="1">'Figur-Beregninger (hide)'!T12</f>
        <v>#VALUE!</v>
      </c>
      <c r="M44" t="s">
        <v>4</v>
      </c>
      <c r="R44" s="24"/>
      <c r="S44" s="9"/>
    </row>
    <row r="45" spans="2:19" x14ac:dyDescent="0.35">
      <c r="I45" s="38" t="s">
        <v>90</v>
      </c>
      <c r="J45" s="98" t="e">
        <f ca="1">'Figur-Beregninger (hide)'!AC10</f>
        <v>#VALUE!</v>
      </c>
      <c r="K45" s="98" t="e">
        <f ca="1">'Figur-Beregninger (hide)'!AD10</f>
        <v>#VALUE!</v>
      </c>
      <c r="L45" s="98" t="e">
        <f ca="1">'Figur-Beregninger (hide)'!AE10</f>
        <v>#VALUE!</v>
      </c>
      <c r="M45" t="s">
        <v>4</v>
      </c>
      <c r="R45" s="24"/>
      <c r="S45" s="9"/>
    </row>
    <row r="47" spans="2:19" x14ac:dyDescent="0.35">
      <c r="I47" s="38" t="s">
        <v>550</v>
      </c>
      <c r="K47" s="10"/>
    </row>
    <row r="48" spans="2:19" s="39" customFormat="1" ht="15" customHeight="1" x14ac:dyDescent="0.35">
      <c r="I48" s="8" t="s">
        <v>642</v>
      </c>
      <c r="J48"/>
      <c r="K48"/>
      <c r="L48" s="29">
        <f>'1a. Spredningsmodell input'!C29*'1a. Spredningsmodell input'!C28*'1a. Spredningsmodell input'!C17*'1a. Spredningsmodell input'!C26</f>
        <v>236500</v>
      </c>
      <c r="M48" s="39" t="s">
        <v>643</v>
      </c>
    </row>
    <row r="49" spans="9:35" x14ac:dyDescent="0.35">
      <c r="I49" s="8" t="s">
        <v>63</v>
      </c>
      <c r="L49" s="23">
        <f>L48/'1a. Spredningsmodell input'!C36</f>
        <v>4.7300000000000002E-2</v>
      </c>
    </row>
    <row r="50" spans="9:35" x14ac:dyDescent="0.35">
      <c r="I50" s="30" t="s">
        <v>66</v>
      </c>
      <c r="L50" s="14">
        <f>1/L49</f>
        <v>21.141649048625791</v>
      </c>
    </row>
    <row r="54" spans="9:35" x14ac:dyDescent="0.35">
      <c r="AE54" s="83"/>
      <c r="AF54" s="83"/>
      <c r="AG54" s="83"/>
      <c r="AH54" s="83"/>
      <c r="AI54" s="39"/>
    </row>
  </sheetData>
  <sheetProtection sheet="1" objects="1" scenarios="1" selectLockedCells="1"/>
  <mergeCells count="1">
    <mergeCell ref="A1:C1"/>
  </mergeCells>
  <pageMargins left="0.70866141732283472" right="0.70866141732283472" top="0.74803149606299213" bottom="0.74803149606299213" header="0.31496062992125984" footer="0.31496062992125984"/>
  <pageSetup paperSize="9" scale="6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
  <dimension ref="A1:AB141"/>
  <sheetViews>
    <sheetView zoomScale="90" zoomScaleNormal="90" workbookViewId="0">
      <pane xSplit="2" ySplit="3" topLeftCell="C4" activePane="bottomRight" state="frozen"/>
      <selection pane="topRight" activeCell="C1" sqref="C1"/>
      <selection pane="bottomLeft" activeCell="A4" sqref="A4"/>
      <selection pane="bottomRight" activeCell="A87" sqref="A87"/>
    </sheetView>
  </sheetViews>
  <sheetFormatPr baseColWidth="10" defaultColWidth="10.81640625" defaultRowHeight="14.5" x14ac:dyDescent="0.35"/>
  <cols>
    <col min="1" max="1" width="20" style="46" bestFit="1" customWidth="1"/>
    <col min="2" max="2" width="9.81640625" style="46" bestFit="1" customWidth="1"/>
    <col min="3" max="3" width="9" style="46" customWidth="1"/>
    <col min="4" max="4" width="9.7265625" style="46" customWidth="1"/>
    <col min="5" max="5" width="12.54296875" style="46" customWidth="1"/>
    <col min="6" max="6" width="13.81640625" style="46" customWidth="1"/>
    <col min="7" max="7" width="14" style="46" customWidth="1"/>
    <col min="8" max="8" width="8" style="46" customWidth="1"/>
    <col min="9" max="9" width="18.1796875" style="46" customWidth="1"/>
    <col min="10" max="10" width="12.1796875" style="46" customWidth="1"/>
    <col min="11" max="11" width="15.453125" style="46" customWidth="1"/>
    <col min="12" max="15" width="10.453125" style="46" customWidth="1"/>
    <col min="16" max="16" width="18.81640625" style="46" customWidth="1"/>
    <col min="17" max="17" width="12.26953125" style="46" customWidth="1"/>
    <col min="29" max="16384" width="10.81640625" style="46"/>
  </cols>
  <sheetData>
    <row r="1" spans="1:28" s="51" customFormat="1" ht="117.75" customHeight="1" x14ac:dyDescent="0.3">
      <c r="A1" s="224" t="s">
        <v>211</v>
      </c>
      <c r="B1" s="225" t="s">
        <v>210</v>
      </c>
      <c r="C1" s="225" t="s">
        <v>209</v>
      </c>
      <c r="D1" s="225" t="s">
        <v>208</v>
      </c>
      <c r="E1" s="225" t="s">
        <v>545</v>
      </c>
      <c r="F1" s="225" t="s">
        <v>529</v>
      </c>
      <c r="G1" s="226" t="s">
        <v>596</v>
      </c>
      <c r="H1" s="226" t="s">
        <v>530</v>
      </c>
      <c r="I1" s="226" t="s">
        <v>531</v>
      </c>
      <c r="J1" s="226" t="s">
        <v>532</v>
      </c>
      <c r="K1" s="226" t="s">
        <v>533</v>
      </c>
      <c r="L1" s="227" t="s">
        <v>537</v>
      </c>
      <c r="M1" s="227" t="s">
        <v>538</v>
      </c>
      <c r="N1" s="227" t="s">
        <v>539</v>
      </c>
      <c r="O1" s="227" t="s">
        <v>534</v>
      </c>
      <c r="P1" s="228" t="s">
        <v>769</v>
      </c>
      <c r="Q1" s="228" t="s">
        <v>747</v>
      </c>
    </row>
    <row r="2" spans="1:28" s="51" customFormat="1" ht="18" customHeight="1" x14ac:dyDescent="0.3">
      <c r="A2" s="229"/>
      <c r="B2" s="230"/>
      <c r="C2" s="230"/>
      <c r="D2" s="230"/>
      <c r="E2" s="230"/>
      <c r="F2" s="230"/>
      <c r="G2" s="231"/>
      <c r="H2" s="231"/>
      <c r="I2" s="231"/>
      <c r="J2" s="231"/>
      <c r="K2" s="231"/>
      <c r="L2" s="232"/>
      <c r="M2" s="232"/>
      <c r="N2" s="232"/>
      <c r="O2" s="232"/>
      <c r="P2" s="233"/>
      <c r="Q2" s="233"/>
    </row>
    <row r="3" spans="1:28" s="51" customFormat="1" ht="18" customHeight="1" x14ac:dyDescent="0.3">
      <c r="A3" s="234"/>
      <c r="B3" s="235"/>
      <c r="C3" s="235"/>
      <c r="D3" s="235"/>
      <c r="E3" s="235"/>
      <c r="F3" s="235"/>
      <c r="G3" s="236"/>
      <c r="H3" s="236"/>
      <c r="I3" s="236"/>
      <c r="J3" s="236"/>
      <c r="K3" s="236"/>
      <c r="L3" s="237"/>
      <c r="M3" s="237"/>
      <c r="N3" s="237"/>
      <c r="O3" s="237"/>
      <c r="P3" s="238"/>
      <c r="Q3" s="238"/>
    </row>
    <row r="4" spans="1:28" x14ac:dyDescent="0.35">
      <c r="A4" s="239" t="s">
        <v>207</v>
      </c>
      <c r="B4" s="239" t="s">
        <v>196</v>
      </c>
      <c r="C4" s="239">
        <v>6607</v>
      </c>
      <c r="D4" s="239"/>
      <c r="E4" s="240" t="s">
        <v>546</v>
      </c>
      <c r="F4" s="239">
        <v>8</v>
      </c>
      <c r="G4" s="240">
        <v>4</v>
      </c>
      <c r="H4" s="240">
        <v>0.5</v>
      </c>
      <c r="I4" s="240" t="s">
        <v>468</v>
      </c>
      <c r="J4" s="240">
        <v>0.6</v>
      </c>
      <c r="K4" s="240" t="s">
        <v>468</v>
      </c>
      <c r="L4" s="241">
        <v>0</v>
      </c>
      <c r="M4" s="241">
        <v>0</v>
      </c>
      <c r="N4" s="241">
        <v>0</v>
      </c>
      <c r="O4" s="241" t="s">
        <v>546</v>
      </c>
      <c r="P4" s="240">
        <f t="shared" ref="P4:P67" si="0">IF(OR(B4="uorganisk",D4&gt;(10^4)),0.05,0)</f>
        <v>0.05</v>
      </c>
      <c r="Q4" s="240" t="s">
        <v>546</v>
      </c>
      <c r="R4" s="46"/>
      <c r="S4" s="46"/>
      <c r="T4" s="46"/>
      <c r="U4" s="46"/>
      <c r="V4" s="46"/>
      <c r="W4" s="46"/>
      <c r="X4" s="46"/>
      <c r="Y4" s="46"/>
      <c r="Z4" s="46"/>
      <c r="AA4" s="46"/>
      <c r="AB4" s="46"/>
    </row>
    <row r="5" spans="1:28" x14ac:dyDescent="0.35">
      <c r="A5" s="239" t="s">
        <v>206</v>
      </c>
      <c r="B5" s="239" t="s">
        <v>196</v>
      </c>
      <c r="C5" s="239">
        <v>154882</v>
      </c>
      <c r="D5" s="239"/>
      <c r="E5" s="240" t="s">
        <v>546</v>
      </c>
      <c r="F5" s="239">
        <v>60</v>
      </c>
      <c r="G5" s="240">
        <v>0.4</v>
      </c>
      <c r="H5" s="240">
        <v>1.2</v>
      </c>
      <c r="I5" s="240" t="s">
        <v>468</v>
      </c>
      <c r="J5" s="240">
        <v>1.3</v>
      </c>
      <c r="K5" s="240" t="s">
        <v>468</v>
      </c>
      <c r="L5" s="241">
        <v>0</v>
      </c>
      <c r="M5" s="241">
        <v>0</v>
      </c>
      <c r="N5" s="241">
        <v>0</v>
      </c>
      <c r="O5" s="241" t="s">
        <v>546</v>
      </c>
      <c r="P5" s="240">
        <f t="shared" si="0"/>
        <v>0.05</v>
      </c>
      <c r="Q5" s="240" t="s">
        <v>546</v>
      </c>
      <c r="R5" s="46"/>
      <c r="S5" s="46"/>
      <c r="T5" s="46"/>
      <c r="U5" s="46"/>
      <c r="V5" s="46"/>
      <c r="W5" s="46"/>
      <c r="X5" s="46"/>
      <c r="Y5" s="46"/>
      <c r="Z5" s="46"/>
      <c r="AA5" s="46"/>
      <c r="AB5" s="46"/>
    </row>
    <row r="6" spans="1:28" x14ac:dyDescent="0.35">
      <c r="A6" s="239" t="s">
        <v>205</v>
      </c>
      <c r="B6" s="239" t="s">
        <v>196</v>
      </c>
      <c r="C6" s="239">
        <v>130000</v>
      </c>
      <c r="D6" s="239"/>
      <c r="E6" s="240" t="s">
        <v>546</v>
      </c>
      <c r="F6" s="239">
        <v>1.5</v>
      </c>
      <c r="G6" s="240">
        <v>0.02</v>
      </c>
      <c r="H6" s="240">
        <v>0.08</v>
      </c>
      <c r="I6" s="240" t="s">
        <v>468</v>
      </c>
      <c r="J6" s="240">
        <v>0.2</v>
      </c>
      <c r="K6" s="240" t="s">
        <v>468</v>
      </c>
      <c r="L6" s="241">
        <v>0</v>
      </c>
      <c r="M6" s="241">
        <v>0</v>
      </c>
      <c r="N6" s="241">
        <v>0</v>
      </c>
      <c r="O6" s="241" t="s">
        <v>546</v>
      </c>
      <c r="P6" s="240">
        <f t="shared" si="0"/>
        <v>0.05</v>
      </c>
      <c r="Q6" s="240" t="s">
        <v>546</v>
      </c>
      <c r="R6" s="46"/>
      <c r="S6" s="46"/>
      <c r="T6" s="46"/>
      <c r="U6" s="46"/>
      <c r="V6" s="46"/>
      <c r="W6" s="46"/>
      <c r="X6" s="46"/>
      <c r="Y6" s="46"/>
      <c r="Z6" s="46"/>
      <c r="AA6" s="46"/>
      <c r="AB6" s="46"/>
    </row>
    <row r="7" spans="1:28" x14ac:dyDescent="0.35">
      <c r="A7" s="239" t="s">
        <v>204</v>
      </c>
      <c r="B7" s="239" t="s">
        <v>196</v>
      </c>
      <c r="C7" s="239">
        <v>100000</v>
      </c>
      <c r="D7" s="239"/>
      <c r="E7" s="240" t="s">
        <v>546</v>
      </c>
      <c r="F7" s="239">
        <v>1</v>
      </c>
      <c r="G7" s="240">
        <v>1.2999999999999999E-2</v>
      </c>
      <c r="H7" s="240">
        <v>4.8000000000000001E-2</v>
      </c>
      <c r="I7" s="240" t="s">
        <v>468</v>
      </c>
      <c r="J7" s="240">
        <v>4.8333333333333332E-2</v>
      </c>
      <c r="K7" s="240" t="s">
        <v>468</v>
      </c>
      <c r="L7" s="241">
        <v>0</v>
      </c>
      <c r="M7" s="241">
        <v>0</v>
      </c>
      <c r="N7" s="241">
        <v>0</v>
      </c>
      <c r="O7" s="241" t="s">
        <v>546</v>
      </c>
      <c r="P7" s="240">
        <f t="shared" si="0"/>
        <v>0.05</v>
      </c>
      <c r="Q7" s="240" t="s">
        <v>546</v>
      </c>
      <c r="R7" s="46"/>
      <c r="S7" s="46"/>
      <c r="T7" s="46"/>
      <c r="U7" s="46"/>
      <c r="V7" s="46"/>
      <c r="W7" s="46"/>
      <c r="X7" s="46"/>
      <c r="Y7" s="46"/>
      <c r="Z7" s="46"/>
      <c r="AA7" s="46"/>
      <c r="AB7" s="46"/>
    </row>
    <row r="8" spans="1:28" x14ac:dyDescent="0.35">
      <c r="A8" s="239" t="s">
        <v>203</v>
      </c>
      <c r="B8" s="239" t="s">
        <v>196</v>
      </c>
      <c r="C8" s="239">
        <v>24409</v>
      </c>
      <c r="D8" s="239"/>
      <c r="E8" s="240" t="s">
        <v>546</v>
      </c>
      <c r="F8" s="239">
        <v>100</v>
      </c>
      <c r="G8" s="240">
        <v>0.05</v>
      </c>
      <c r="H8" s="240">
        <v>7.9</v>
      </c>
      <c r="I8" s="240" t="s">
        <v>468</v>
      </c>
      <c r="J8" s="240">
        <v>2.6</v>
      </c>
      <c r="K8" s="240" t="s">
        <v>468</v>
      </c>
      <c r="L8" s="241">
        <v>0</v>
      </c>
      <c r="M8" s="241">
        <v>0</v>
      </c>
      <c r="N8" s="241">
        <v>0</v>
      </c>
      <c r="O8" s="241" t="s">
        <v>546</v>
      </c>
      <c r="P8" s="240">
        <f t="shared" si="0"/>
        <v>0.05</v>
      </c>
      <c r="Q8" s="240" t="s">
        <v>546</v>
      </c>
      <c r="R8" s="46"/>
      <c r="S8" s="46"/>
      <c r="T8" s="46"/>
      <c r="U8" s="46"/>
      <c r="V8" s="46"/>
      <c r="W8" s="46"/>
      <c r="X8" s="46"/>
      <c r="Y8" s="46"/>
      <c r="Z8" s="46"/>
      <c r="AA8" s="46"/>
      <c r="AB8" s="46"/>
    </row>
    <row r="9" spans="1:28" x14ac:dyDescent="0.35">
      <c r="A9" s="239" t="s">
        <v>202</v>
      </c>
      <c r="B9" s="239" t="s">
        <v>196</v>
      </c>
      <c r="C9" s="239">
        <v>110000</v>
      </c>
      <c r="D9" s="239"/>
      <c r="E9" s="240" t="s">
        <v>546</v>
      </c>
      <c r="F9" s="239">
        <v>200</v>
      </c>
      <c r="G9" s="240">
        <v>0.04</v>
      </c>
      <c r="H9" s="240">
        <v>11</v>
      </c>
      <c r="I9" s="240" t="s">
        <v>468</v>
      </c>
      <c r="J9" s="240">
        <v>3.38</v>
      </c>
      <c r="K9" s="240" t="s">
        <v>468</v>
      </c>
      <c r="L9" s="240">
        <v>0</v>
      </c>
      <c r="M9" s="240">
        <v>0</v>
      </c>
      <c r="N9" s="240">
        <v>0</v>
      </c>
      <c r="O9" s="241" t="s">
        <v>546</v>
      </c>
      <c r="P9" s="240">
        <f t="shared" si="0"/>
        <v>0.05</v>
      </c>
      <c r="Q9" s="240" t="s">
        <v>546</v>
      </c>
      <c r="R9" s="46"/>
      <c r="S9" s="46"/>
      <c r="T9" s="46"/>
      <c r="U9" s="46"/>
      <c r="V9" s="46"/>
      <c r="W9" s="46"/>
      <c r="X9" s="46"/>
      <c r="Y9" s="46"/>
      <c r="Z9" s="46"/>
      <c r="AA9" s="46"/>
      <c r="AB9" s="46"/>
    </row>
    <row r="10" spans="1:28" x14ac:dyDescent="0.35">
      <c r="A10" s="239" t="s">
        <v>201</v>
      </c>
      <c r="B10" s="239" t="s">
        <v>196</v>
      </c>
      <c r="C10" s="239">
        <v>11000</v>
      </c>
      <c r="D10" s="239"/>
      <c r="E10" s="240" t="s">
        <v>546</v>
      </c>
      <c r="F10" s="239">
        <v>50</v>
      </c>
      <c r="G10" s="240">
        <v>4.7</v>
      </c>
      <c r="H10" s="240">
        <v>5</v>
      </c>
      <c r="I10" s="240" t="s">
        <v>469</v>
      </c>
      <c r="J10" s="240">
        <v>5</v>
      </c>
      <c r="K10" s="240" t="s">
        <v>469</v>
      </c>
      <c r="L10" s="240">
        <v>0</v>
      </c>
      <c r="M10" s="240">
        <v>0</v>
      </c>
      <c r="N10" s="240">
        <v>0</v>
      </c>
      <c r="O10" s="241" t="s">
        <v>546</v>
      </c>
      <c r="P10" s="240">
        <f t="shared" si="0"/>
        <v>0.05</v>
      </c>
      <c r="Q10" s="240" t="s">
        <v>546</v>
      </c>
      <c r="R10" s="46"/>
      <c r="S10" s="46"/>
      <c r="T10" s="46"/>
      <c r="U10" s="46"/>
      <c r="V10" s="46"/>
      <c r="W10" s="46"/>
      <c r="X10" s="46"/>
      <c r="Y10" s="46"/>
      <c r="Z10" s="46"/>
      <c r="AA10" s="46"/>
      <c r="AB10" s="46"/>
    </row>
    <row r="11" spans="1:28" x14ac:dyDescent="0.35">
      <c r="A11" s="239" t="s">
        <v>200</v>
      </c>
      <c r="B11" s="239" t="s">
        <v>196</v>
      </c>
      <c r="C11" s="239">
        <v>30</v>
      </c>
      <c r="D11" s="239"/>
      <c r="E11" s="240" t="s">
        <v>546</v>
      </c>
      <c r="F11" s="239">
        <v>2</v>
      </c>
      <c r="G11" s="240">
        <v>3.4</v>
      </c>
      <c r="H11" s="240">
        <v>3</v>
      </c>
      <c r="I11" s="240" t="s">
        <v>469</v>
      </c>
      <c r="J11" s="240">
        <v>3</v>
      </c>
      <c r="K11" s="240" t="s">
        <v>469</v>
      </c>
      <c r="L11" s="240">
        <v>0</v>
      </c>
      <c r="M11" s="240">
        <v>0</v>
      </c>
      <c r="N11" s="240">
        <v>0</v>
      </c>
      <c r="O11" s="241" t="s">
        <v>546</v>
      </c>
      <c r="P11" s="240">
        <f t="shared" si="0"/>
        <v>0.05</v>
      </c>
      <c r="Q11" s="240" t="s">
        <v>546</v>
      </c>
      <c r="R11" s="46"/>
      <c r="S11" s="46"/>
      <c r="T11" s="46"/>
      <c r="U11" s="46"/>
      <c r="V11" s="46"/>
      <c r="W11" s="46"/>
      <c r="X11" s="46"/>
      <c r="Y11" s="46"/>
      <c r="Z11" s="46"/>
      <c r="AA11" s="46"/>
      <c r="AB11" s="46"/>
    </row>
    <row r="12" spans="1:28" x14ac:dyDescent="0.35">
      <c r="A12" s="239" t="s">
        <v>199</v>
      </c>
      <c r="B12" s="239" t="s">
        <v>196</v>
      </c>
      <c r="C12" s="239">
        <v>11000</v>
      </c>
      <c r="D12" s="239"/>
      <c r="E12" s="240" t="s">
        <v>546</v>
      </c>
      <c r="F12" s="239">
        <v>50</v>
      </c>
      <c r="G12" s="240">
        <v>4.7</v>
      </c>
      <c r="H12" s="240">
        <v>3.4</v>
      </c>
      <c r="I12" s="240" t="s">
        <v>468</v>
      </c>
      <c r="J12" s="240">
        <v>3.4</v>
      </c>
      <c r="K12" s="240" t="s">
        <v>468</v>
      </c>
      <c r="L12" s="240">
        <v>0</v>
      </c>
      <c r="M12" s="240">
        <v>0</v>
      </c>
      <c r="N12" s="240">
        <v>0</v>
      </c>
      <c r="O12" s="241" t="s">
        <v>546</v>
      </c>
      <c r="P12" s="240">
        <f t="shared" si="0"/>
        <v>0.05</v>
      </c>
      <c r="Q12" s="240" t="s">
        <v>546</v>
      </c>
      <c r="R12" s="46"/>
      <c r="S12" s="46"/>
      <c r="T12" s="46"/>
      <c r="U12" s="46"/>
      <c r="V12" s="46"/>
      <c r="W12" s="46"/>
      <c r="X12" s="46"/>
      <c r="Y12" s="46"/>
      <c r="Z12" s="46"/>
      <c r="AA12" s="46"/>
      <c r="AB12" s="46"/>
    </row>
    <row r="13" spans="1:28" x14ac:dyDescent="0.35">
      <c r="A13" s="242" t="s">
        <v>198</v>
      </c>
      <c r="B13" s="239" t="s">
        <v>196</v>
      </c>
      <c r="C13" s="239">
        <v>7079</v>
      </c>
      <c r="D13" s="239"/>
      <c r="E13" s="240" t="s">
        <v>546</v>
      </c>
      <c r="F13" s="239">
        <v>60</v>
      </c>
      <c r="G13" s="240">
        <v>1.2</v>
      </c>
      <c r="H13" s="240">
        <v>4</v>
      </c>
      <c r="I13" s="240" t="s">
        <v>468</v>
      </c>
      <c r="J13" s="240">
        <v>8.6</v>
      </c>
      <c r="K13" s="240" t="s">
        <v>468</v>
      </c>
      <c r="L13" s="240">
        <v>0</v>
      </c>
      <c r="M13" s="240">
        <v>0</v>
      </c>
      <c r="N13" s="240">
        <v>0</v>
      </c>
      <c r="O13" s="241" t="s">
        <v>546</v>
      </c>
      <c r="P13" s="240">
        <f t="shared" si="0"/>
        <v>0.05</v>
      </c>
      <c r="Q13" s="240" t="s">
        <v>546</v>
      </c>
      <c r="R13" s="46"/>
      <c r="S13" s="46"/>
      <c r="T13" s="46"/>
      <c r="U13" s="46"/>
      <c r="V13" s="46"/>
      <c r="W13" s="46"/>
      <c r="X13" s="46"/>
      <c r="Y13" s="46"/>
      <c r="Z13" s="46"/>
      <c r="AA13" s="46"/>
      <c r="AB13" s="46"/>
    </row>
    <row r="14" spans="1:28" x14ac:dyDescent="0.35">
      <c r="A14" s="242" t="s">
        <v>197</v>
      </c>
      <c r="B14" s="239" t="s">
        <v>196</v>
      </c>
      <c r="C14" s="239">
        <v>2.7999999999999997E-2</v>
      </c>
      <c r="D14" s="239">
        <v>2.8</v>
      </c>
      <c r="E14" s="240" t="s">
        <v>546</v>
      </c>
      <c r="F14" s="239">
        <v>1</v>
      </c>
      <c r="G14" s="240">
        <v>0.1</v>
      </c>
      <c r="H14" s="240">
        <v>1</v>
      </c>
      <c r="I14" s="240" t="s">
        <v>473</v>
      </c>
      <c r="J14" s="240">
        <v>0.2</v>
      </c>
      <c r="K14" s="240" t="s">
        <v>469</v>
      </c>
      <c r="L14" s="240">
        <v>0</v>
      </c>
      <c r="M14" s="240">
        <v>0</v>
      </c>
      <c r="N14" s="240">
        <v>0</v>
      </c>
      <c r="O14" s="241" t="s">
        <v>546</v>
      </c>
      <c r="P14" s="240">
        <f t="shared" si="0"/>
        <v>0.05</v>
      </c>
      <c r="Q14" s="240" t="s">
        <v>546</v>
      </c>
      <c r="R14" s="46"/>
      <c r="S14" s="46"/>
      <c r="T14" s="46"/>
      <c r="U14" s="46"/>
      <c r="V14" s="46"/>
      <c r="W14" s="46"/>
      <c r="X14" s="46"/>
      <c r="Y14" s="46"/>
      <c r="Z14" s="46"/>
      <c r="AA14" s="46"/>
      <c r="AB14" s="46"/>
    </row>
    <row r="15" spans="1:28" x14ac:dyDescent="0.35">
      <c r="A15" s="239" t="s">
        <v>195</v>
      </c>
      <c r="B15" s="239" t="s">
        <v>122</v>
      </c>
      <c r="C15" s="239">
        <v>3211</v>
      </c>
      <c r="D15" s="239">
        <v>321119</v>
      </c>
      <c r="E15" s="240" t="s">
        <v>546</v>
      </c>
      <c r="F15" s="239">
        <v>0.01</v>
      </c>
      <c r="G15" s="240">
        <v>2E-3</v>
      </c>
      <c r="H15" s="240" t="s">
        <v>466</v>
      </c>
      <c r="I15" s="240" t="s">
        <v>468</v>
      </c>
      <c r="J15" s="240" t="s">
        <v>466</v>
      </c>
      <c r="K15" s="240" t="s">
        <v>468</v>
      </c>
      <c r="L15" s="240">
        <v>0</v>
      </c>
      <c r="M15" s="240">
        <v>0</v>
      </c>
      <c r="N15" s="240">
        <v>0</v>
      </c>
      <c r="O15" s="241" t="s">
        <v>546</v>
      </c>
      <c r="P15" s="240">
        <f t="shared" si="0"/>
        <v>0.05</v>
      </c>
      <c r="Q15" s="240" t="s">
        <v>546</v>
      </c>
      <c r="R15" s="46"/>
      <c r="S15" s="46"/>
      <c r="T15" s="46"/>
      <c r="U15" s="46"/>
      <c r="V15" s="46"/>
      <c r="W15" s="46"/>
      <c r="X15" s="46"/>
      <c r="Y15" s="46"/>
      <c r="Z15" s="46"/>
      <c r="AA15" s="46"/>
      <c r="AB15" s="46"/>
    </row>
    <row r="16" spans="1:28" x14ac:dyDescent="0.35">
      <c r="A16" s="239" t="s">
        <v>194</v>
      </c>
      <c r="B16" s="239" t="s">
        <v>122</v>
      </c>
      <c r="C16" s="239">
        <v>37</v>
      </c>
      <c r="D16" s="239">
        <v>3715</v>
      </c>
      <c r="E16" s="240" t="s">
        <v>546</v>
      </c>
      <c r="F16" s="239">
        <v>1E-3</v>
      </c>
      <c r="G16" s="240">
        <v>0.02</v>
      </c>
      <c r="H16" s="240">
        <v>0.02</v>
      </c>
      <c r="I16" s="240" t="s">
        <v>468</v>
      </c>
      <c r="J16" s="240">
        <v>2E-3</v>
      </c>
      <c r="K16" s="240" t="s">
        <v>468</v>
      </c>
      <c r="L16" s="240">
        <v>0</v>
      </c>
      <c r="M16" s="240">
        <v>0</v>
      </c>
      <c r="N16" s="240">
        <v>0</v>
      </c>
      <c r="O16" s="241" t="s">
        <v>546</v>
      </c>
      <c r="P16" s="240">
        <f t="shared" si="0"/>
        <v>0</v>
      </c>
      <c r="Q16" s="240" t="s">
        <v>546</v>
      </c>
      <c r="R16" s="46"/>
      <c r="S16" s="46"/>
      <c r="T16" s="46"/>
      <c r="U16" s="46"/>
      <c r="V16" s="46"/>
      <c r="W16" s="46"/>
      <c r="X16" s="46"/>
      <c r="Y16" s="46"/>
      <c r="Z16" s="46"/>
      <c r="AA16" s="46"/>
      <c r="AB16" s="46"/>
    </row>
    <row r="17" spans="1:28" x14ac:dyDescent="0.35">
      <c r="A17" s="239" t="s">
        <v>193</v>
      </c>
      <c r="B17" s="239" t="s">
        <v>122</v>
      </c>
      <c r="C17" s="239">
        <v>62159</v>
      </c>
      <c r="D17" s="239">
        <v>6215857</v>
      </c>
      <c r="E17" s="240" t="s">
        <v>546</v>
      </c>
      <c r="F17" s="239">
        <v>0.04</v>
      </c>
      <c r="G17" s="240">
        <v>0.01</v>
      </c>
      <c r="H17" s="240">
        <v>2.5000000000000001E-2</v>
      </c>
      <c r="I17" s="240" t="s">
        <v>468</v>
      </c>
      <c r="J17" s="240" t="s">
        <v>475</v>
      </c>
      <c r="K17" s="240" t="s">
        <v>468</v>
      </c>
      <c r="L17" s="240">
        <v>0</v>
      </c>
      <c r="M17" s="240">
        <v>0</v>
      </c>
      <c r="N17" s="240">
        <v>0</v>
      </c>
      <c r="O17" s="241" t="s">
        <v>546</v>
      </c>
      <c r="P17" s="240">
        <f>IF(OR(B17="uorganisk",D17&gt;(10^4)),0.05,0)</f>
        <v>0.05</v>
      </c>
      <c r="Q17" s="240" t="s">
        <v>546</v>
      </c>
      <c r="R17" s="46"/>
      <c r="S17" s="46"/>
      <c r="T17" s="46"/>
      <c r="U17" s="46"/>
      <c r="V17" s="46"/>
      <c r="W17" s="46"/>
      <c r="X17" s="46"/>
      <c r="Y17" s="46"/>
      <c r="Z17" s="46"/>
      <c r="AA17" s="46"/>
      <c r="AB17" s="46"/>
    </row>
    <row r="18" spans="1:28" x14ac:dyDescent="0.35">
      <c r="A18" s="239" t="s">
        <v>192</v>
      </c>
      <c r="B18" s="239" t="s">
        <v>122</v>
      </c>
      <c r="C18" s="239">
        <v>4</v>
      </c>
      <c r="D18" s="239">
        <v>398</v>
      </c>
      <c r="E18" s="240" t="s">
        <v>546</v>
      </c>
      <c r="F18" s="239">
        <v>0.03</v>
      </c>
      <c r="G18" s="240">
        <v>30</v>
      </c>
      <c r="H18" s="240">
        <v>32</v>
      </c>
      <c r="I18" s="240" t="s">
        <v>469</v>
      </c>
      <c r="J18" s="240">
        <v>3</v>
      </c>
      <c r="K18" s="240" t="s">
        <v>474</v>
      </c>
      <c r="L18" s="240">
        <v>0</v>
      </c>
      <c r="M18" s="240">
        <v>0</v>
      </c>
      <c r="N18" s="240">
        <v>0</v>
      </c>
      <c r="O18" s="241" t="s">
        <v>546</v>
      </c>
      <c r="P18" s="240">
        <f t="shared" si="0"/>
        <v>0</v>
      </c>
      <c r="Q18" s="240" t="s">
        <v>546</v>
      </c>
      <c r="R18" s="46"/>
      <c r="S18" s="46"/>
      <c r="T18" s="46"/>
      <c r="U18" s="46"/>
      <c r="V18" s="46"/>
      <c r="W18" s="46"/>
      <c r="X18" s="46"/>
      <c r="Y18" s="46"/>
      <c r="Z18" s="46"/>
      <c r="AA18" s="46"/>
      <c r="AB18" s="46"/>
    </row>
    <row r="19" spans="1:28" x14ac:dyDescent="0.35">
      <c r="A19" s="239" t="s">
        <v>191</v>
      </c>
      <c r="B19" s="239" t="s">
        <v>122</v>
      </c>
      <c r="C19" s="239">
        <v>4</v>
      </c>
      <c r="D19" s="239">
        <v>398</v>
      </c>
      <c r="E19" s="240" t="s">
        <v>546</v>
      </c>
      <c r="F19" s="239">
        <v>0.1</v>
      </c>
      <c r="G19" s="240">
        <v>40</v>
      </c>
      <c r="H19" s="240">
        <v>4</v>
      </c>
      <c r="I19" s="240" t="s">
        <v>474</v>
      </c>
      <c r="J19" s="240" t="s">
        <v>476</v>
      </c>
      <c r="K19" s="240" t="s">
        <v>472</v>
      </c>
      <c r="L19" s="240">
        <v>0</v>
      </c>
      <c r="M19" s="240">
        <v>0</v>
      </c>
      <c r="N19" s="240">
        <v>0</v>
      </c>
      <c r="O19" s="241" t="s">
        <v>546</v>
      </c>
      <c r="P19" s="240">
        <f t="shared" si="0"/>
        <v>0</v>
      </c>
      <c r="Q19" s="240" t="s">
        <v>546</v>
      </c>
      <c r="R19" s="46"/>
      <c r="S19" s="46"/>
      <c r="T19" s="46"/>
      <c r="U19" s="46"/>
      <c r="V19" s="46"/>
      <c r="W19" s="46"/>
      <c r="X19" s="46"/>
      <c r="Y19" s="46"/>
      <c r="Z19" s="46"/>
      <c r="AA19" s="46"/>
      <c r="AB19" s="46"/>
    </row>
    <row r="20" spans="1:28" x14ac:dyDescent="0.35">
      <c r="A20" s="239" t="s">
        <v>190</v>
      </c>
      <c r="B20" s="239" t="s">
        <v>122</v>
      </c>
      <c r="C20" s="239">
        <v>3.7</v>
      </c>
      <c r="D20" s="239">
        <v>372</v>
      </c>
      <c r="E20" s="240" t="s">
        <v>546</v>
      </c>
      <c r="F20" s="239">
        <v>7.0000000000000007E-2</v>
      </c>
      <c r="G20" s="240">
        <v>10</v>
      </c>
      <c r="H20" s="240">
        <v>20</v>
      </c>
      <c r="I20" s="240" t="s">
        <v>469</v>
      </c>
      <c r="J20" s="240">
        <v>2</v>
      </c>
      <c r="K20" s="240" t="s">
        <v>474</v>
      </c>
      <c r="L20" s="240">
        <v>0</v>
      </c>
      <c r="M20" s="240">
        <v>0</v>
      </c>
      <c r="N20" s="240">
        <v>0</v>
      </c>
      <c r="O20" s="241" t="s">
        <v>546</v>
      </c>
      <c r="P20" s="240">
        <f t="shared" si="0"/>
        <v>0</v>
      </c>
      <c r="Q20" s="240" t="s">
        <v>546</v>
      </c>
      <c r="R20" s="46"/>
      <c r="S20" s="46"/>
      <c r="T20" s="46"/>
      <c r="U20" s="46"/>
      <c r="V20" s="46"/>
      <c r="W20" s="46"/>
      <c r="X20" s="46"/>
      <c r="Y20" s="46"/>
      <c r="Z20" s="46"/>
      <c r="AA20" s="46"/>
      <c r="AB20" s="46"/>
    </row>
    <row r="21" spans="1:28" x14ac:dyDescent="0.35">
      <c r="A21" s="239" t="s">
        <v>189</v>
      </c>
      <c r="B21" s="239" t="s">
        <v>122</v>
      </c>
      <c r="C21" s="239">
        <v>14</v>
      </c>
      <c r="D21" s="239">
        <v>1400</v>
      </c>
      <c r="E21" s="240" t="s">
        <v>546</v>
      </c>
      <c r="F21" s="239">
        <v>0.05</v>
      </c>
      <c r="G21" s="240" t="s">
        <v>477</v>
      </c>
      <c r="H21" s="240">
        <v>0.4</v>
      </c>
      <c r="I21" s="240" t="s">
        <v>468</v>
      </c>
      <c r="J21" s="240">
        <v>0.4</v>
      </c>
      <c r="K21" s="240" t="s">
        <v>468</v>
      </c>
      <c r="L21" s="240">
        <v>0</v>
      </c>
      <c r="M21" s="240">
        <v>0</v>
      </c>
      <c r="N21" s="240">
        <v>0</v>
      </c>
      <c r="O21" s="241" t="s">
        <v>546</v>
      </c>
      <c r="P21" s="240">
        <f t="shared" si="0"/>
        <v>0</v>
      </c>
      <c r="Q21" s="240" t="s">
        <v>546</v>
      </c>
      <c r="R21" s="46"/>
      <c r="S21" s="46"/>
      <c r="T21" s="46"/>
      <c r="U21" s="46"/>
      <c r="V21" s="46"/>
      <c r="W21" s="46"/>
      <c r="X21" s="46"/>
      <c r="Y21" s="46"/>
      <c r="Z21" s="46"/>
      <c r="AA21" s="46"/>
      <c r="AB21" s="46"/>
    </row>
    <row r="22" spans="1:28" x14ac:dyDescent="0.35">
      <c r="A22" s="243" t="s">
        <v>188</v>
      </c>
      <c r="B22" s="239" t="s">
        <v>122</v>
      </c>
      <c r="C22" s="243">
        <v>14</v>
      </c>
      <c r="D22" s="243">
        <v>1400</v>
      </c>
      <c r="E22" s="240" t="s">
        <v>546</v>
      </c>
      <c r="F22" s="243">
        <v>0.01</v>
      </c>
      <c r="G22" s="240"/>
      <c r="H22" s="244"/>
      <c r="I22" s="240"/>
      <c r="J22" s="240"/>
      <c r="K22" s="240"/>
      <c r="L22" s="240">
        <v>0</v>
      </c>
      <c r="M22" s="240">
        <v>0</v>
      </c>
      <c r="N22" s="240">
        <v>0</v>
      </c>
      <c r="O22" s="241" t="s">
        <v>546</v>
      </c>
      <c r="P22" s="240">
        <f t="shared" si="0"/>
        <v>0</v>
      </c>
      <c r="Q22" s="240" t="s">
        <v>546</v>
      </c>
      <c r="R22" s="46"/>
      <c r="S22" s="46"/>
      <c r="T22" s="46"/>
      <c r="U22" s="46"/>
      <c r="V22" s="46"/>
      <c r="W22" s="46"/>
      <c r="X22" s="46"/>
      <c r="Y22" s="46"/>
      <c r="Z22" s="46"/>
      <c r="AA22" s="46"/>
      <c r="AB22" s="46"/>
    </row>
    <row r="23" spans="1:28" x14ac:dyDescent="0.35">
      <c r="A23" s="243" t="s">
        <v>187</v>
      </c>
      <c r="B23" s="239" t="s">
        <v>122</v>
      </c>
      <c r="C23" s="243">
        <v>14</v>
      </c>
      <c r="D23" s="243">
        <v>1400</v>
      </c>
      <c r="E23" s="240" t="s">
        <v>546</v>
      </c>
      <c r="F23" s="243">
        <v>0.01</v>
      </c>
      <c r="G23" s="240"/>
      <c r="H23" s="244"/>
      <c r="I23" s="240"/>
      <c r="J23" s="240"/>
      <c r="K23" s="240"/>
      <c r="L23" s="240">
        <v>0</v>
      </c>
      <c r="M23" s="240">
        <v>0</v>
      </c>
      <c r="N23" s="240">
        <v>0</v>
      </c>
      <c r="O23" s="241" t="s">
        <v>546</v>
      </c>
      <c r="P23" s="240">
        <f t="shared" si="0"/>
        <v>0</v>
      </c>
      <c r="Q23" s="240" t="s">
        <v>546</v>
      </c>
      <c r="R23" s="46"/>
      <c r="S23" s="46"/>
      <c r="T23" s="46"/>
      <c r="U23" s="46"/>
      <c r="V23" s="46"/>
      <c r="W23" s="46"/>
      <c r="X23" s="46"/>
      <c r="Y23" s="46"/>
      <c r="Z23" s="46"/>
      <c r="AA23" s="46"/>
      <c r="AB23" s="46"/>
    </row>
    <row r="24" spans="1:28" x14ac:dyDescent="0.35">
      <c r="A24" s="239" t="s">
        <v>186</v>
      </c>
      <c r="B24" s="239" t="s">
        <v>122</v>
      </c>
      <c r="C24" s="239">
        <v>59</v>
      </c>
      <c r="D24" s="239">
        <v>5888</v>
      </c>
      <c r="E24" s="240" t="s">
        <v>546</v>
      </c>
      <c r="F24" s="239">
        <v>0.05</v>
      </c>
      <c r="G24" s="240"/>
      <c r="H24" s="244"/>
      <c r="I24" s="240"/>
      <c r="J24" s="240"/>
      <c r="K24" s="240"/>
      <c r="L24" s="240">
        <v>0</v>
      </c>
      <c r="M24" s="240">
        <v>0</v>
      </c>
      <c r="N24" s="240">
        <v>0</v>
      </c>
      <c r="O24" s="241" t="s">
        <v>546</v>
      </c>
      <c r="P24" s="240">
        <f t="shared" si="0"/>
        <v>0</v>
      </c>
      <c r="Q24" s="240" t="s">
        <v>546</v>
      </c>
      <c r="R24" s="46"/>
      <c r="S24" s="46"/>
      <c r="T24" s="46"/>
      <c r="U24" s="46"/>
      <c r="V24" s="46"/>
      <c r="W24" s="46"/>
      <c r="X24" s="46"/>
      <c r="Y24" s="46"/>
      <c r="Z24" s="46"/>
      <c r="AA24" s="46"/>
      <c r="AB24" s="46"/>
    </row>
    <row r="25" spans="1:28" x14ac:dyDescent="0.35">
      <c r="A25" s="239" t="s">
        <v>185</v>
      </c>
      <c r="B25" s="239" t="s">
        <v>122</v>
      </c>
      <c r="C25" s="239">
        <v>400</v>
      </c>
      <c r="D25" s="239">
        <v>40000</v>
      </c>
      <c r="E25" s="240" t="s">
        <v>546</v>
      </c>
      <c r="F25" s="239">
        <v>0.1</v>
      </c>
      <c r="G25" s="240">
        <v>1</v>
      </c>
      <c r="H25" s="240">
        <v>7.0000000000000001E-3</v>
      </c>
      <c r="I25" s="240" t="s">
        <v>468</v>
      </c>
      <c r="J25" s="240">
        <v>6.9999999999999999E-4</v>
      </c>
      <c r="K25" s="240" t="s">
        <v>468</v>
      </c>
      <c r="L25" s="240">
        <v>0</v>
      </c>
      <c r="M25" s="240">
        <v>0</v>
      </c>
      <c r="N25" s="240">
        <v>0</v>
      </c>
      <c r="O25" s="241" t="s">
        <v>546</v>
      </c>
      <c r="P25" s="240">
        <f t="shared" si="0"/>
        <v>0.05</v>
      </c>
      <c r="Q25" s="240" t="s">
        <v>546</v>
      </c>
      <c r="R25" s="46"/>
      <c r="S25" s="46"/>
      <c r="T25" s="46"/>
      <c r="U25" s="46"/>
      <c r="V25" s="46"/>
      <c r="W25" s="46"/>
      <c r="X25" s="46"/>
      <c r="Y25" s="46"/>
      <c r="Z25" s="46"/>
      <c r="AA25" s="46"/>
      <c r="AB25" s="46"/>
    </row>
    <row r="26" spans="1:28" x14ac:dyDescent="0.35">
      <c r="A26" s="242" t="s">
        <v>184</v>
      </c>
      <c r="B26" s="239" t="s">
        <v>122</v>
      </c>
      <c r="C26" s="239">
        <v>1300</v>
      </c>
      <c r="D26" s="239">
        <v>130000</v>
      </c>
      <c r="E26" s="240" t="s">
        <v>546</v>
      </c>
      <c r="F26" s="245">
        <v>0.01</v>
      </c>
      <c r="G26" s="240">
        <v>0.03</v>
      </c>
      <c r="H26" s="240">
        <v>1.2999999999999999E-2</v>
      </c>
      <c r="I26" s="240" t="s">
        <v>468</v>
      </c>
      <c r="J26" s="240">
        <v>1.2999999999999999E-2</v>
      </c>
      <c r="K26" s="240" t="s">
        <v>468</v>
      </c>
      <c r="L26" s="240">
        <v>0</v>
      </c>
      <c r="M26" s="240">
        <v>0</v>
      </c>
      <c r="N26" s="240">
        <v>0</v>
      </c>
      <c r="O26" s="241" t="s">
        <v>546</v>
      </c>
      <c r="P26" s="240">
        <f t="shared" si="0"/>
        <v>0.05</v>
      </c>
      <c r="Q26" s="240" t="s">
        <v>546</v>
      </c>
      <c r="R26" s="46"/>
      <c r="S26" s="46"/>
      <c r="T26" s="46"/>
      <c r="U26" s="46"/>
      <c r="V26" s="46"/>
      <c r="W26" s="46"/>
      <c r="X26" s="46"/>
      <c r="Y26" s="46"/>
      <c r="Z26" s="46"/>
      <c r="AA26" s="46"/>
      <c r="AB26" s="46"/>
    </row>
    <row r="27" spans="1:28" x14ac:dyDescent="0.35">
      <c r="A27" s="242" t="s">
        <v>183</v>
      </c>
      <c r="B27" s="239" t="s">
        <v>122</v>
      </c>
      <c r="C27" s="239">
        <v>8.8000000000000009E-2</v>
      </c>
      <c r="D27" s="239">
        <v>8.8000000000000007</v>
      </c>
      <c r="E27" s="240" t="s">
        <v>546</v>
      </c>
      <c r="F27" s="239">
        <v>0.06</v>
      </c>
      <c r="G27" s="240">
        <v>600</v>
      </c>
      <c r="H27" s="240">
        <v>20</v>
      </c>
      <c r="I27" s="240" t="s">
        <v>478</v>
      </c>
      <c r="J27" s="240">
        <v>20</v>
      </c>
      <c r="K27" s="240" t="s">
        <v>478</v>
      </c>
      <c r="L27" s="240">
        <v>0</v>
      </c>
      <c r="M27" s="240">
        <v>0</v>
      </c>
      <c r="N27" s="240">
        <v>0</v>
      </c>
      <c r="O27" s="241" t="s">
        <v>546</v>
      </c>
      <c r="P27" s="240">
        <f t="shared" si="0"/>
        <v>0</v>
      </c>
      <c r="Q27" s="240" t="s">
        <v>546</v>
      </c>
      <c r="R27" s="46"/>
      <c r="S27" s="46"/>
      <c r="T27" s="46"/>
      <c r="U27" s="46"/>
      <c r="V27" s="46"/>
      <c r="W27" s="46"/>
      <c r="X27" s="46"/>
      <c r="Y27" s="46"/>
      <c r="Z27" s="46"/>
      <c r="AA27" s="46"/>
      <c r="AB27" s="46"/>
    </row>
    <row r="28" spans="1:28" x14ac:dyDescent="0.35">
      <c r="A28" s="239" t="s">
        <v>182</v>
      </c>
      <c r="B28" s="239" t="s">
        <v>122</v>
      </c>
      <c r="C28" s="239">
        <v>1.9</v>
      </c>
      <c r="D28" s="239">
        <v>185</v>
      </c>
      <c r="E28" s="240" t="s">
        <v>546</v>
      </c>
      <c r="F28" s="239">
        <v>0.02</v>
      </c>
      <c r="G28" s="240">
        <v>56</v>
      </c>
      <c r="H28" s="240">
        <v>2.5</v>
      </c>
      <c r="I28" s="240" t="s">
        <v>479</v>
      </c>
      <c r="J28" s="240">
        <v>2.5</v>
      </c>
      <c r="K28" s="240" t="s">
        <v>479</v>
      </c>
      <c r="L28" s="240">
        <v>0</v>
      </c>
      <c r="M28" s="240">
        <v>0</v>
      </c>
      <c r="N28" s="240">
        <v>0</v>
      </c>
      <c r="O28" s="241" t="s">
        <v>546</v>
      </c>
      <c r="P28" s="240">
        <f t="shared" si="0"/>
        <v>0</v>
      </c>
      <c r="Q28" s="240" t="s">
        <v>546</v>
      </c>
      <c r="R28" s="46"/>
      <c r="S28" s="46"/>
      <c r="T28" s="46"/>
      <c r="U28" s="46"/>
      <c r="V28" s="46"/>
      <c r="W28" s="46"/>
      <c r="X28" s="46"/>
      <c r="Y28" s="46"/>
      <c r="Z28" s="46"/>
      <c r="AA28" s="46"/>
      <c r="AB28" s="46"/>
    </row>
    <row r="29" spans="1:28" x14ac:dyDescent="0.35">
      <c r="A29" s="239" t="s">
        <v>181</v>
      </c>
      <c r="B29" s="239" t="s">
        <v>122</v>
      </c>
      <c r="C29" s="239">
        <v>1.4</v>
      </c>
      <c r="D29" s="239">
        <v>141</v>
      </c>
      <c r="E29" s="240" t="s">
        <v>546</v>
      </c>
      <c r="F29" s="239">
        <v>0.1</v>
      </c>
      <c r="G29" s="240">
        <v>115</v>
      </c>
      <c r="H29" s="240">
        <v>115</v>
      </c>
      <c r="I29" s="240" t="s">
        <v>471</v>
      </c>
      <c r="J29" s="240">
        <v>11</v>
      </c>
      <c r="K29" s="240" t="s">
        <v>480</v>
      </c>
      <c r="L29" s="240">
        <v>0</v>
      </c>
      <c r="M29" s="240">
        <v>0</v>
      </c>
      <c r="N29" s="240">
        <v>0</v>
      </c>
      <c r="O29" s="241" t="s">
        <v>546</v>
      </c>
      <c r="P29" s="240">
        <f t="shared" si="0"/>
        <v>0</v>
      </c>
      <c r="Q29" s="240" t="s">
        <v>546</v>
      </c>
      <c r="R29" s="46"/>
      <c r="S29" s="46"/>
      <c r="T29" s="46"/>
      <c r="U29" s="46"/>
      <c r="V29" s="46"/>
      <c r="W29" s="46"/>
      <c r="X29" s="46"/>
      <c r="Y29" s="46"/>
      <c r="Z29" s="46"/>
      <c r="AA29" s="46"/>
      <c r="AB29" s="46"/>
    </row>
    <row r="30" spans="1:28" x14ac:dyDescent="0.35">
      <c r="A30" s="246" t="s">
        <v>180</v>
      </c>
      <c r="B30" s="239" t="s">
        <v>122</v>
      </c>
      <c r="C30" s="243">
        <v>0.8</v>
      </c>
      <c r="D30" s="243">
        <v>84.1</v>
      </c>
      <c r="E30" s="240" t="s">
        <v>546</v>
      </c>
      <c r="F30" s="243">
        <v>0.02</v>
      </c>
      <c r="G30" s="240">
        <v>29</v>
      </c>
      <c r="H30" s="240">
        <v>220</v>
      </c>
      <c r="I30" s="240" t="s">
        <v>469</v>
      </c>
      <c r="J30" s="240">
        <v>22</v>
      </c>
      <c r="K30" s="240" t="s">
        <v>474</v>
      </c>
      <c r="L30" s="240">
        <v>0</v>
      </c>
      <c r="M30" s="240">
        <v>0</v>
      </c>
      <c r="N30" s="240">
        <v>0</v>
      </c>
      <c r="O30" s="241" t="s">
        <v>546</v>
      </c>
      <c r="P30" s="240">
        <f t="shared" si="0"/>
        <v>0</v>
      </c>
      <c r="Q30" s="240" t="s">
        <v>546</v>
      </c>
      <c r="R30" s="46"/>
      <c r="S30" s="46"/>
      <c r="T30" s="46"/>
      <c r="U30" s="46"/>
      <c r="V30" s="46"/>
      <c r="W30" s="46"/>
      <c r="X30" s="46"/>
      <c r="Y30" s="46"/>
      <c r="Z30" s="46"/>
      <c r="AA30" s="46"/>
      <c r="AB30" s="46"/>
    </row>
    <row r="31" spans="1:28" x14ac:dyDescent="0.35">
      <c r="A31" s="239" t="s">
        <v>179</v>
      </c>
      <c r="B31" s="239" t="s">
        <v>122</v>
      </c>
      <c r="C31" s="239">
        <v>1.4</v>
      </c>
      <c r="D31" s="239">
        <v>141</v>
      </c>
      <c r="E31" s="240" t="s">
        <v>546</v>
      </c>
      <c r="F31" s="239">
        <v>0.01</v>
      </c>
      <c r="G31" s="240">
        <v>50</v>
      </c>
      <c r="H31" s="240">
        <v>51</v>
      </c>
      <c r="I31" s="240" t="s">
        <v>469</v>
      </c>
      <c r="J31" s="240">
        <v>5</v>
      </c>
      <c r="K31" s="240" t="s">
        <v>474</v>
      </c>
      <c r="L31" s="240">
        <v>0</v>
      </c>
      <c r="M31" s="240">
        <v>0</v>
      </c>
      <c r="N31" s="240">
        <v>0</v>
      </c>
      <c r="O31" s="241" t="s">
        <v>546</v>
      </c>
      <c r="P31" s="240">
        <f t="shared" si="0"/>
        <v>0</v>
      </c>
      <c r="Q31" s="240" t="s">
        <v>546</v>
      </c>
      <c r="R31" s="46"/>
      <c r="S31" s="46"/>
      <c r="T31" s="46"/>
      <c r="U31" s="46"/>
      <c r="V31" s="46"/>
      <c r="W31" s="46"/>
      <c r="X31" s="46"/>
      <c r="Y31" s="46"/>
      <c r="Z31" s="46"/>
      <c r="AA31" s="46"/>
      <c r="AB31" s="46"/>
    </row>
    <row r="32" spans="1:28" x14ac:dyDescent="0.35">
      <c r="A32" s="239" t="s">
        <v>178</v>
      </c>
      <c r="B32" s="239" t="s">
        <v>122</v>
      </c>
      <c r="C32" s="239">
        <v>1.2</v>
      </c>
      <c r="D32" s="239">
        <v>116</v>
      </c>
      <c r="E32" s="240" t="s">
        <v>546</v>
      </c>
      <c r="F32" s="239">
        <v>0.01</v>
      </c>
      <c r="G32" s="240">
        <v>220</v>
      </c>
      <c r="H32" s="240">
        <v>10</v>
      </c>
      <c r="I32" s="240" t="s">
        <v>481</v>
      </c>
      <c r="J32" s="240">
        <v>10</v>
      </c>
      <c r="K32" s="240" t="s">
        <v>481</v>
      </c>
      <c r="L32" s="240">
        <v>0</v>
      </c>
      <c r="M32" s="240">
        <v>0</v>
      </c>
      <c r="N32" s="240">
        <v>0</v>
      </c>
      <c r="O32" s="241" t="s">
        <v>546</v>
      </c>
      <c r="P32" s="240">
        <f t="shared" si="0"/>
        <v>0</v>
      </c>
      <c r="Q32" s="240" t="s">
        <v>546</v>
      </c>
      <c r="R32" s="46"/>
      <c r="S32" s="46"/>
      <c r="T32" s="46"/>
      <c r="U32" s="46"/>
      <c r="V32" s="46"/>
      <c r="W32" s="46"/>
      <c r="X32" s="46"/>
      <c r="Y32" s="46"/>
      <c r="Z32" s="46"/>
      <c r="AA32" s="46"/>
      <c r="AB32" s="46"/>
    </row>
    <row r="33" spans="1:28" x14ac:dyDescent="0.35">
      <c r="A33" s="242" t="s">
        <v>177</v>
      </c>
      <c r="B33" s="239" t="s">
        <v>122</v>
      </c>
      <c r="C33" s="239">
        <v>0.41</v>
      </c>
      <c r="D33" s="239">
        <v>40.700000000000003</v>
      </c>
      <c r="E33" s="240" t="s">
        <v>546</v>
      </c>
      <c r="F33" s="239">
        <v>4.0000000000000001E-3</v>
      </c>
      <c r="G33" s="240">
        <v>70</v>
      </c>
      <c r="H33" s="240">
        <v>58.1</v>
      </c>
      <c r="I33" s="240" t="s">
        <v>474</v>
      </c>
      <c r="J33" s="240">
        <v>5.81</v>
      </c>
      <c r="K33" s="240" t="s">
        <v>472</v>
      </c>
      <c r="L33" s="240">
        <v>0</v>
      </c>
      <c r="M33" s="240">
        <v>0</v>
      </c>
      <c r="N33" s="240">
        <v>0</v>
      </c>
      <c r="O33" s="241" t="s">
        <v>546</v>
      </c>
      <c r="P33" s="240">
        <f t="shared" si="0"/>
        <v>0</v>
      </c>
      <c r="Q33" s="240" t="s">
        <v>546</v>
      </c>
      <c r="R33" s="46"/>
      <c r="S33" s="46"/>
      <c r="T33" s="46"/>
      <c r="U33" s="46"/>
      <c r="V33" s="46"/>
      <c r="W33" s="46"/>
      <c r="X33" s="46"/>
      <c r="Y33" s="46"/>
      <c r="Z33" s="46"/>
      <c r="AA33" s="46"/>
      <c r="AB33" s="46"/>
    </row>
    <row r="34" spans="1:28" x14ac:dyDescent="0.35">
      <c r="A34" s="242" t="s">
        <v>176</v>
      </c>
      <c r="B34" s="239" t="s">
        <v>122</v>
      </c>
      <c r="C34" s="239">
        <v>1.1000000000000001</v>
      </c>
      <c r="D34" s="239">
        <v>110</v>
      </c>
      <c r="E34" s="240" t="s">
        <v>546</v>
      </c>
      <c r="F34" s="239">
        <v>0.1</v>
      </c>
      <c r="G34" s="240">
        <v>130</v>
      </c>
      <c r="H34" s="240">
        <v>130</v>
      </c>
      <c r="I34" s="240" t="s">
        <v>469</v>
      </c>
      <c r="J34" s="240">
        <v>13</v>
      </c>
      <c r="K34" s="240" t="s">
        <v>474</v>
      </c>
      <c r="L34" s="240">
        <v>0</v>
      </c>
      <c r="M34" s="240">
        <v>0</v>
      </c>
      <c r="N34" s="240">
        <v>0</v>
      </c>
      <c r="O34" s="241" t="s">
        <v>546</v>
      </c>
      <c r="P34" s="240">
        <f t="shared" si="0"/>
        <v>0</v>
      </c>
      <c r="Q34" s="240" t="s">
        <v>546</v>
      </c>
      <c r="R34" s="46"/>
      <c r="S34" s="46"/>
      <c r="T34" s="46"/>
      <c r="U34" s="46"/>
      <c r="V34" s="46"/>
      <c r="W34" s="46"/>
      <c r="X34" s="46"/>
      <c r="Y34" s="46"/>
      <c r="Z34" s="46"/>
      <c r="AA34" s="46"/>
      <c r="AB34" s="46"/>
    </row>
    <row r="35" spans="1:28" x14ac:dyDescent="0.35">
      <c r="A35" s="243" t="s">
        <v>175</v>
      </c>
      <c r="B35" s="239" t="s">
        <v>122</v>
      </c>
      <c r="C35" s="243">
        <v>0.8</v>
      </c>
      <c r="D35" s="243">
        <v>80</v>
      </c>
      <c r="E35" s="240" t="s">
        <v>546</v>
      </c>
      <c r="F35" s="243">
        <v>0.01</v>
      </c>
      <c r="G35" s="240">
        <v>18</v>
      </c>
      <c r="H35" s="240">
        <v>18</v>
      </c>
      <c r="I35" s="240" t="s">
        <v>467</v>
      </c>
      <c r="J35" s="240" t="s">
        <v>466</v>
      </c>
      <c r="K35" s="240" t="s">
        <v>467</v>
      </c>
      <c r="L35" s="240">
        <v>0</v>
      </c>
      <c r="M35" s="240">
        <v>0</v>
      </c>
      <c r="N35" s="240">
        <v>0</v>
      </c>
      <c r="O35" s="241" t="s">
        <v>546</v>
      </c>
      <c r="P35" s="240">
        <f t="shared" si="0"/>
        <v>0</v>
      </c>
      <c r="Q35" s="240" t="s">
        <v>546</v>
      </c>
      <c r="R35" s="46"/>
      <c r="S35" s="46"/>
      <c r="T35" s="46"/>
      <c r="U35" s="46"/>
      <c r="V35" s="46"/>
      <c r="W35" s="46"/>
      <c r="X35" s="46"/>
      <c r="Y35" s="46"/>
      <c r="Z35" s="46"/>
      <c r="AA35" s="46"/>
      <c r="AB35" s="46"/>
    </row>
    <row r="36" spans="1:28" x14ac:dyDescent="0.35">
      <c r="A36" s="246" t="s">
        <v>174</v>
      </c>
      <c r="B36" s="239" t="s">
        <v>122</v>
      </c>
      <c r="C36" s="243">
        <v>0.3</v>
      </c>
      <c r="D36" s="243">
        <v>30</v>
      </c>
      <c r="E36" s="240" t="s">
        <v>546</v>
      </c>
      <c r="F36" s="243">
        <v>0.1</v>
      </c>
      <c r="G36" s="240">
        <v>7.7</v>
      </c>
      <c r="H36" s="240">
        <v>8</v>
      </c>
      <c r="I36" s="240" t="s">
        <v>469</v>
      </c>
      <c r="J36" s="240">
        <v>1</v>
      </c>
      <c r="K36" s="240" t="s">
        <v>474</v>
      </c>
      <c r="L36" s="240">
        <v>0</v>
      </c>
      <c r="M36" s="240">
        <v>0</v>
      </c>
      <c r="N36" s="240">
        <v>0</v>
      </c>
      <c r="O36" s="241" t="s">
        <v>546</v>
      </c>
      <c r="P36" s="240">
        <f t="shared" si="0"/>
        <v>0</v>
      </c>
      <c r="Q36" s="240" t="s">
        <v>546</v>
      </c>
      <c r="R36" s="46"/>
      <c r="S36" s="46"/>
      <c r="T36" s="46"/>
      <c r="U36" s="46"/>
      <c r="V36" s="46"/>
      <c r="W36" s="46"/>
      <c r="X36" s="46"/>
      <c r="Y36" s="46"/>
      <c r="Z36" s="46"/>
      <c r="AA36" s="46"/>
      <c r="AB36" s="46"/>
    </row>
    <row r="37" spans="1:28" x14ac:dyDescent="0.35">
      <c r="A37" s="243" t="s">
        <v>173</v>
      </c>
      <c r="B37" s="239" t="s">
        <v>122</v>
      </c>
      <c r="C37" s="243">
        <v>0.3</v>
      </c>
      <c r="D37" s="247">
        <v>30</v>
      </c>
      <c r="E37" s="240" t="s">
        <v>546</v>
      </c>
      <c r="F37" s="243">
        <v>0.06</v>
      </c>
      <c r="G37" s="240">
        <v>0.1</v>
      </c>
      <c r="H37" s="240">
        <v>0.1</v>
      </c>
      <c r="I37" s="240" t="s">
        <v>467</v>
      </c>
      <c r="J37" s="240" t="s">
        <v>466</v>
      </c>
      <c r="K37" s="240" t="s">
        <v>467</v>
      </c>
      <c r="L37" s="240">
        <v>0</v>
      </c>
      <c r="M37" s="240">
        <v>0</v>
      </c>
      <c r="N37" s="240">
        <v>0</v>
      </c>
      <c r="O37" s="241" t="s">
        <v>546</v>
      </c>
      <c r="P37" s="240">
        <f t="shared" si="0"/>
        <v>0</v>
      </c>
      <c r="Q37" s="240" t="s">
        <v>546</v>
      </c>
      <c r="R37" s="46"/>
      <c r="S37" s="46"/>
      <c r="T37" s="46"/>
      <c r="U37" s="46"/>
      <c r="V37" s="46"/>
      <c r="W37" s="46"/>
      <c r="X37" s="46"/>
      <c r="Y37" s="46"/>
      <c r="Z37" s="46"/>
      <c r="AA37" s="46"/>
      <c r="AB37" s="46"/>
    </row>
    <row r="38" spans="1:28" x14ac:dyDescent="0.35">
      <c r="A38" s="239" t="s">
        <v>172</v>
      </c>
      <c r="B38" s="239" t="s">
        <v>122</v>
      </c>
      <c r="C38" s="239">
        <v>34</v>
      </c>
      <c r="D38" s="239">
        <v>3400</v>
      </c>
      <c r="E38" s="240" t="s">
        <v>546</v>
      </c>
      <c r="F38" s="239">
        <v>6.0000000000000001E-3</v>
      </c>
      <c r="G38" s="240">
        <v>0.2</v>
      </c>
      <c r="H38" s="240">
        <v>0.4</v>
      </c>
      <c r="I38" s="240" t="s">
        <v>468</v>
      </c>
      <c r="J38" s="240">
        <v>0.4</v>
      </c>
      <c r="K38" s="240" t="s">
        <v>468</v>
      </c>
      <c r="L38" s="240">
        <v>0</v>
      </c>
      <c r="M38" s="240">
        <v>0</v>
      </c>
      <c r="N38" s="240">
        <v>0</v>
      </c>
      <c r="O38" s="241" t="s">
        <v>546</v>
      </c>
      <c r="P38" s="240">
        <f t="shared" si="0"/>
        <v>0</v>
      </c>
      <c r="Q38" s="240" t="s">
        <v>546</v>
      </c>
      <c r="R38" s="46"/>
      <c r="S38" s="46"/>
      <c r="T38" s="46"/>
      <c r="U38" s="46"/>
      <c r="V38" s="46"/>
      <c r="W38" s="46"/>
      <c r="X38" s="46"/>
      <c r="Y38" s="46"/>
      <c r="Z38" s="46"/>
      <c r="AA38" s="46"/>
      <c r="AB38" s="46"/>
    </row>
    <row r="39" spans="1:28" x14ac:dyDescent="0.35">
      <c r="A39" s="242" t="s">
        <v>171</v>
      </c>
      <c r="B39" s="239" t="s">
        <v>122</v>
      </c>
      <c r="C39" s="239">
        <v>589</v>
      </c>
      <c r="D39" s="239">
        <v>58884</v>
      </c>
      <c r="E39" s="240" t="s">
        <v>546</v>
      </c>
      <c r="F39" s="239">
        <v>2</v>
      </c>
      <c r="G39" s="240"/>
      <c r="H39" s="244"/>
      <c r="I39" s="240"/>
      <c r="J39" s="240"/>
      <c r="K39" s="240"/>
      <c r="L39" s="240">
        <v>0</v>
      </c>
      <c r="M39" s="240">
        <v>0</v>
      </c>
      <c r="N39" s="240">
        <v>0</v>
      </c>
      <c r="O39" s="241" t="s">
        <v>546</v>
      </c>
      <c r="P39" s="240">
        <f t="shared" si="0"/>
        <v>0.05</v>
      </c>
      <c r="Q39" s="240" t="s">
        <v>546</v>
      </c>
      <c r="R39" s="46"/>
      <c r="S39" s="46"/>
      <c r="T39" s="46"/>
      <c r="U39" s="46"/>
      <c r="V39" s="46"/>
      <c r="W39" s="46"/>
      <c r="X39" s="46"/>
      <c r="Y39" s="46"/>
      <c r="Z39" s="46"/>
      <c r="AA39" s="46"/>
      <c r="AB39" s="46"/>
    </row>
    <row r="40" spans="1:28" x14ac:dyDescent="0.35">
      <c r="A40" s="242" t="s">
        <v>170</v>
      </c>
      <c r="B40" s="239" t="s">
        <v>122</v>
      </c>
      <c r="C40" s="239">
        <v>13</v>
      </c>
      <c r="D40" s="239">
        <v>1349</v>
      </c>
      <c r="E40" s="240" t="s">
        <v>546</v>
      </c>
      <c r="F40" s="239">
        <v>0.8</v>
      </c>
      <c r="G40" s="240">
        <v>2.4</v>
      </c>
      <c r="H40" s="240">
        <v>2</v>
      </c>
      <c r="I40" s="240" t="s">
        <v>468</v>
      </c>
      <c r="J40" s="240">
        <v>2</v>
      </c>
      <c r="K40" s="240" t="s">
        <v>468</v>
      </c>
      <c r="L40" s="240">
        <v>0</v>
      </c>
      <c r="M40" s="240">
        <v>0</v>
      </c>
      <c r="N40" s="240">
        <v>0</v>
      </c>
      <c r="O40" s="241" t="s">
        <v>546</v>
      </c>
      <c r="P40" s="240">
        <f t="shared" si="0"/>
        <v>0</v>
      </c>
      <c r="Q40" s="240" t="s">
        <v>546</v>
      </c>
      <c r="R40" s="46"/>
      <c r="S40" s="46"/>
      <c r="T40" s="46"/>
      <c r="U40" s="46"/>
      <c r="V40" s="46"/>
      <c r="W40" s="46"/>
      <c r="X40" s="46"/>
      <c r="Y40" s="46"/>
      <c r="Z40" s="46"/>
      <c r="AA40" s="46"/>
      <c r="AB40" s="46"/>
    </row>
    <row r="41" spans="1:28" x14ac:dyDescent="0.35">
      <c r="A41" s="239" t="s">
        <v>169</v>
      </c>
      <c r="B41" s="239" t="s">
        <v>122</v>
      </c>
      <c r="C41" s="239">
        <v>26</v>
      </c>
      <c r="D41" s="239">
        <v>2570</v>
      </c>
      <c r="E41" s="240" t="s">
        <v>546</v>
      </c>
      <c r="F41" s="248">
        <v>0.8</v>
      </c>
      <c r="G41" s="240">
        <v>0.15</v>
      </c>
      <c r="H41" s="240">
        <v>1.28</v>
      </c>
      <c r="I41" s="240" t="s">
        <v>468</v>
      </c>
      <c r="J41" s="240">
        <v>1.28</v>
      </c>
      <c r="K41" s="240" t="s">
        <v>468</v>
      </c>
      <c r="L41" s="240">
        <v>0</v>
      </c>
      <c r="M41" s="240">
        <v>0</v>
      </c>
      <c r="N41" s="240">
        <v>0</v>
      </c>
      <c r="O41" s="241" t="s">
        <v>546</v>
      </c>
      <c r="P41" s="240">
        <f t="shared" si="0"/>
        <v>0</v>
      </c>
      <c r="Q41" s="240" t="s">
        <v>546</v>
      </c>
      <c r="R41" s="46"/>
      <c r="S41" s="46"/>
      <c r="T41" s="46"/>
      <c r="U41" s="46"/>
      <c r="V41" s="46"/>
      <c r="W41" s="46"/>
      <c r="X41" s="46"/>
      <c r="Y41" s="46"/>
      <c r="Z41" s="46"/>
      <c r="AA41" s="46"/>
      <c r="AB41" s="46"/>
    </row>
    <row r="42" spans="1:28" x14ac:dyDescent="0.35">
      <c r="A42" s="239" t="s">
        <v>168</v>
      </c>
      <c r="B42" s="239" t="s">
        <v>122</v>
      </c>
      <c r="C42" s="239">
        <v>51</v>
      </c>
      <c r="D42" s="239">
        <v>5129</v>
      </c>
      <c r="E42" s="240" t="s">
        <v>546</v>
      </c>
      <c r="F42" s="248">
        <v>0.8</v>
      </c>
      <c r="G42" s="240">
        <v>0.15</v>
      </c>
      <c r="H42" s="240">
        <v>3.8</v>
      </c>
      <c r="I42" s="240" t="s">
        <v>468</v>
      </c>
      <c r="J42" s="240">
        <v>3.8</v>
      </c>
      <c r="K42" s="240" t="s">
        <v>468</v>
      </c>
      <c r="L42" s="240">
        <v>0</v>
      </c>
      <c r="M42" s="240">
        <v>0</v>
      </c>
      <c r="N42" s="240">
        <v>0</v>
      </c>
      <c r="O42" s="241" t="s">
        <v>546</v>
      </c>
      <c r="P42" s="240">
        <f t="shared" si="0"/>
        <v>0</v>
      </c>
      <c r="Q42" s="240" t="s">
        <v>546</v>
      </c>
      <c r="R42" s="46"/>
      <c r="S42" s="46"/>
      <c r="T42" s="46"/>
      <c r="U42" s="46"/>
      <c r="V42" s="46"/>
      <c r="W42" s="46"/>
      <c r="X42" s="46"/>
      <c r="Y42" s="46"/>
      <c r="Z42" s="46"/>
      <c r="AA42" s="46"/>
      <c r="AB42" s="46"/>
    </row>
    <row r="43" spans="1:28" x14ac:dyDescent="0.35">
      <c r="A43" s="239" t="s">
        <v>167</v>
      </c>
      <c r="B43" s="239" t="s">
        <v>122</v>
      </c>
      <c r="C43" s="239">
        <v>372</v>
      </c>
      <c r="D43" s="239">
        <v>37154</v>
      </c>
      <c r="E43" s="240" t="s">
        <v>546</v>
      </c>
      <c r="F43" s="248">
        <v>0.8</v>
      </c>
      <c r="G43" s="240">
        <v>0.15</v>
      </c>
      <c r="H43" s="240">
        <v>0.51247792226808087</v>
      </c>
      <c r="I43" s="240" t="s">
        <v>468</v>
      </c>
      <c r="J43" s="240">
        <v>0.51247792226808087</v>
      </c>
      <c r="K43" s="240" t="s">
        <v>468</v>
      </c>
      <c r="L43" s="240">
        <v>0</v>
      </c>
      <c r="M43" s="240">
        <v>0</v>
      </c>
      <c r="N43" s="240">
        <v>0</v>
      </c>
      <c r="O43" s="241" t="s">
        <v>546</v>
      </c>
      <c r="P43" s="240">
        <f t="shared" si="0"/>
        <v>0.05</v>
      </c>
      <c r="Q43" s="240" t="s">
        <v>546</v>
      </c>
      <c r="R43" s="46"/>
      <c r="S43" s="46"/>
      <c r="T43" s="46"/>
      <c r="U43" s="46"/>
      <c r="V43" s="46"/>
      <c r="W43" s="46"/>
      <c r="X43" s="46"/>
      <c r="Y43" s="46"/>
      <c r="Z43" s="46"/>
      <c r="AA43" s="46"/>
      <c r="AB43" s="46"/>
    </row>
    <row r="44" spans="1:28" x14ac:dyDescent="0.35">
      <c r="A44" s="239" t="s">
        <v>166</v>
      </c>
      <c r="B44" s="239" t="s">
        <v>122</v>
      </c>
      <c r="C44" s="239">
        <v>295</v>
      </c>
      <c r="D44" s="239">
        <v>29512</v>
      </c>
      <c r="E44" s="240" t="s">
        <v>546</v>
      </c>
      <c r="F44" s="248">
        <v>0.8</v>
      </c>
      <c r="G44" s="240">
        <v>0.15</v>
      </c>
      <c r="H44" s="240">
        <v>0.1</v>
      </c>
      <c r="I44" s="240" t="s">
        <v>468</v>
      </c>
      <c r="J44" s="240">
        <v>0.1</v>
      </c>
      <c r="K44" s="240" t="s">
        <v>468</v>
      </c>
      <c r="L44" s="240">
        <v>0</v>
      </c>
      <c r="M44" s="240">
        <v>0</v>
      </c>
      <c r="N44" s="240">
        <v>0</v>
      </c>
      <c r="O44" s="241" t="s">
        <v>546</v>
      </c>
      <c r="P44" s="240">
        <f t="shared" si="0"/>
        <v>0.05</v>
      </c>
      <c r="Q44" s="240" t="s">
        <v>546</v>
      </c>
      <c r="R44" s="46"/>
      <c r="S44" s="46"/>
      <c r="T44" s="46"/>
      <c r="U44" s="46"/>
      <c r="V44" s="46"/>
      <c r="W44" s="46"/>
      <c r="X44" s="46"/>
      <c r="Y44" s="46"/>
      <c r="Z44" s="46"/>
      <c r="AA44" s="46"/>
      <c r="AB44" s="46"/>
    </row>
    <row r="45" spans="1:28" x14ac:dyDescent="0.35">
      <c r="A45" s="239" t="s">
        <v>165</v>
      </c>
      <c r="B45" s="239" t="s">
        <v>122</v>
      </c>
      <c r="C45" s="239">
        <v>102</v>
      </c>
      <c r="D45" s="239">
        <v>10233</v>
      </c>
      <c r="E45" s="240" t="s">
        <v>546</v>
      </c>
      <c r="F45" s="239">
        <v>0.8</v>
      </c>
      <c r="G45" s="240">
        <v>0.15</v>
      </c>
      <c r="H45" s="240">
        <v>1.4685057953532279</v>
      </c>
      <c r="I45" s="240" t="s">
        <v>468</v>
      </c>
      <c r="J45" s="240">
        <v>1.4685057953532279</v>
      </c>
      <c r="K45" s="240" t="s">
        <v>468</v>
      </c>
      <c r="L45" s="240">
        <v>0</v>
      </c>
      <c r="M45" s="240">
        <v>0</v>
      </c>
      <c r="N45" s="240">
        <v>0</v>
      </c>
      <c r="O45" s="241" t="s">
        <v>546</v>
      </c>
      <c r="P45" s="240">
        <f t="shared" si="0"/>
        <v>0.05</v>
      </c>
      <c r="Q45" s="240" t="s">
        <v>546</v>
      </c>
      <c r="R45" s="46"/>
      <c r="S45" s="46"/>
      <c r="T45" s="46"/>
      <c r="U45" s="46"/>
      <c r="V45" s="46"/>
      <c r="W45" s="46"/>
      <c r="X45" s="46"/>
      <c r="Y45" s="46"/>
      <c r="Z45" s="46"/>
      <c r="AA45" s="46"/>
      <c r="AB45" s="46"/>
    </row>
    <row r="46" spans="1:28" x14ac:dyDescent="0.35">
      <c r="A46" s="239" t="s">
        <v>164</v>
      </c>
      <c r="B46" s="239" t="s">
        <v>122</v>
      </c>
      <c r="C46" s="239">
        <v>977</v>
      </c>
      <c r="D46" s="239">
        <v>97724</v>
      </c>
      <c r="E46" s="240" t="s">
        <v>546</v>
      </c>
      <c r="F46" s="239">
        <v>1</v>
      </c>
      <c r="G46" s="240">
        <v>0.05</v>
      </c>
      <c r="H46" s="240">
        <v>6.2500000000000003E-3</v>
      </c>
      <c r="I46" s="240" t="s">
        <v>468</v>
      </c>
      <c r="J46" s="240">
        <v>6.2500000000000003E-3</v>
      </c>
      <c r="K46" s="240" t="s">
        <v>468</v>
      </c>
      <c r="L46" s="240">
        <v>0</v>
      </c>
      <c r="M46" s="240">
        <v>0</v>
      </c>
      <c r="N46" s="240">
        <v>0</v>
      </c>
      <c r="O46" s="241" t="s">
        <v>546</v>
      </c>
      <c r="P46" s="240">
        <f t="shared" si="0"/>
        <v>0.05</v>
      </c>
      <c r="Q46" s="240" t="s">
        <v>546</v>
      </c>
      <c r="R46" s="46"/>
      <c r="S46" s="46"/>
      <c r="T46" s="46"/>
      <c r="U46" s="46"/>
      <c r="V46" s="46"/>
      <c r="W46" s="46"/>
      <c r="X46" s="46"/>
      <c r="Y46" s="46"/>
      <c r="Z46" s="46"/>
      <c r="AA46" s="46"/>
      <c r="AB46" s="46"/>
    </row>
    <row r="47" spans="1:28" x14ac:dyDescent="0.35">
      <c r="A47" s="239" t="s">
        <v>163</v>
      </c>
      <c r="B47" s="239" t="s">
        <v>122</v>
      </c>
      <c r="C47" s="239">
        <v>589</v>
      </c>
      <c r="D47" s="239">
        <v>58884</v>
      </c>
      <c r="E47" s="240" t="s">
        <v>546</v>
      </c>
      <c r="F47" s="249">
        <v>1</v>
      </c>
      <c r="G47" s="240">
        <v>0.05</v>
      </c>
      <c r="H47" s="240">
        <v>2.3E-2</v>
      </c>
      <c r="I47" s="240" t="s">
        <v>468</v>
      </c>
      <c r="J47" s="240">
        <v>2.3E-2</v>
      </c>
      <c r="K47" s="240" t="s">
        <v>468</v>
      </c>
      <c r="L47" s="240">
        <v>0</v>
      </c>
      <c r="M47" s="240">
        <v>0</v>
      </c>
      <c r="N47" s="240">
        <v>0</v>
      </c>
      <c r="O47" s="241" t="s">
        <v>546</v>
      </c>
      <c r="P47" s="240">
        <f t="shared" si="0"/>
        <v>0.05</v>
      </c>
      <c r="Q47" s="240" t="s">
        <v>546</v>
      </c>
      <c r="R47" s="46"/>
      <c r="S47" s="46"/>
      <c r="T47" s="46"/>
      <c r="U47" s="46"/>
      <c r="V47" s="46"/>
      <c r="W47" s="46"/>
      <c r="X47" s="46"/>
      <c r="Y47" s="46"/>
      <c r="Z47" s="46"/>
      <c r="AA47" s="46"/>
      <c r="AB47" s="46"/>
    </row>
    <row r="48" spans="1:28" x14ac:dyDescent="0.35">
      <c r="A48" s="239" t="s">
        <v>162</v>
      </c>
      <c r="B48" s="239" t="s">
        <v>122</v>
      </c>
      <c r="C48" s="239">
        <v>5012</v>
      </c>
      <c r="D48" s="239">
        <v>501187</v>
      </c>
      <c r="E48" s="240" t="s">
        <v>546</v>
      </c>
      <c r="F48" s="248">
        <v>0.03</v>
      </c>
      <c r="G48" s="240">
        <v>0.05</v>
      </c>
      <c r="H48" s="240">
        <v>1.2E-2</v>
      </c>
      <c r="I48" s="240" t="s">
        <v>468</v>
      </c>
      <c r="J48" s="240">
        <v>1.2E-2</v>
      </c>
      <c r="K48" s="240" t="s">
        <v>468</v>
      </c>
      <c r="L48" s="240">
        <v>0</v>
      </c>
      <c r="M48" s="240">
        <v>0</v>
      </c>
      <c r="N48" s="240">
        <v>0</v>
      </c>
      <c r="O48" s="241" t="s">
        <v>546</v>
      </c>
      <c r="P48" s="240">
        <f t="shared" si="0"/>
        <v>0.05</v>
      </c>
      <c r="Q48" s="240" t="s">
        <v>546</v>
      </c>
      <c r="R48" s="46"/>
      <c r="S48" s="46"/>
      <c r="T48" s="46"/>
      <c r="U48" s="46"/>
      <c r="V48" s="46"/>
      <c r="W48" s="46"/>
      <c r="X48" s="46"/>
      <c r="Y48" s="46"/>
      <c r="Z48" s="46"/>
      <c r="AA48" s="46"/>
      <c r="AB48" s="46"/>
    </row>
    <row r="49" spans="1:28" x14ac:dyDescent="0.35">
      <c r="A49" s="239" t="s">
        <v>161</v>
      </c>
      <c r="B49" s="239" t="s">
        <v>122</v>
      </c>
      <c r="C49" s="239">
        <v>3981</v>
      </c>
      <c r="D49" s="239">
        <v>398107</v>
      </c>
      <c r="E49" s="240" t="s">
        <v>546</v>
      </c>
      <c r="F49" s="248">
        <v>0.03</v>
      </c>
      <c r="G49" s="240">
        <v>0.05</v>
      </c>
      <c r="H49" s="240">
        <v>6.9999999999999993E-2</v>
      </c>
      <c r="I49" s="240" t="s">
        <v>468</v>
      </c>
      <c r="J49" s="240">
        <v>6.9999999999999993E-2</v>
      </c>
      <c r="K49" s="240" t="s">
        <v>468</v>
      </c>
      <c r="L49" s="240">
        <v>0</v>
      </c>
      <c r="M49" s="240">
        <v>0</v>
      </c>
      <c r="N49" s="240">
        <v>0</v>
      </c>
      <c r="O49" s="241" t="s">
        <v>546</v>
      </c>
      <c r="P49" s="240">
        <f t="shared" si="0"/>
        <v>0.05</v>
      </c>
      <c r="Q49" s="240" t="s">
        <v>546</v>
      </c>
      <c r="R49" s="46"/>
      <c r="S49" s="46"/>
      <c r="T49" s="46"/>
      <c r="U49" s="46"/>
      <c r="V49" s="46"/>
      <c r="W49" s="46"/>
      <c r="X49" s="46"/>
      <c r="Y49" s="46"/>
      <c r="Z49" s="46"/>
      <c r="AA49" s="46"/>
      <c r="AB49" s="46"/>
    </row>
    <row r="50" spans="1:28" x14ac:dyDescent="0.35">
      <c r="A50" s="239" t="s">
        <v>160</v>
      </c>
      <c r="B50" s="239" t="s">
        <v>122</v>
      </c>
      <c r="C50" s="239">
        <v>8319</v>
      </c>
      <c r="D50" s="239">
        <v>831864</v>
      </c>
      <c r="E50" s="240" t="s">
        <v>546</v>
      </c>
      <c r="F50" s="248">
        <v>0.01</v>
      </c>
      <c r="G50" s="240">
        <v>0.05</v>
      </c>
      <c r="H50" s="240">
        <v>1.7000000000000001E-2</v>
      </c>
      <c r="I50" s="240" t="s">
        <v>468</v>
      </c>
      <c r="J50" s="240">
        <v>1.7000000000000001E-2</v>
      </c>
      <c r="K50" s="240" t="s">
        <v>468</v>
      </c>
      <c r="L50" s="240">
        <v>0</v>
      </c>
      <c r="M50" s="240">
        <v>0</v>
      </c>
      <c r="N50" s="240">
        <v>0</v>
      </c>
      <c r="O50" s="241" t="s">
        <v>546</v>
      </c>
      <c r="P50" s="240">
        <f t="shared" si="0"/>
        <v>0.05</v>
      </c>
      <c r="Q50" s="240" t="s">
        <v>546</v>
      </c>
      <c r="R50" s="46"/>
      <c r="S50" s="46"/>
      <c r="T50" s="46"/>
      <c r="U50" s="46"/>
      <c r="V50" s="46"/>
      <c r="W50" s="46"/>
      <c r="X50" s="46"/>
      <c r="Y50" s="46"/>
      <c r="Z50" s="46"/>
      <c r="AA50" s="46"/>
      <c r="AB50" s="46"/>
    </row>
    <row r="51" spans="1:28" x14ac:dyDescent="0.35">
      <c r="A51" s="239" t="s">
        <v>159</v>
      </c>
      <c r="B51" s="239" t="s">
        <v>122</v>
      </c>
      <c r="C51" s="239">
        <v>7943</v>
      </c>
      <c r="D51" s="239">
        <v>794328</v>
      </c>
      <c r="E51" s="240" t="s">
        <v>546</v>
      </c>
      <c r="F51" s="248">
        <v>0.09</v>
      </c>
      <c r="G51" s="240">
        <v>0.05</v>
      </c>
      <c r="H51" s="240">
        <v>1.7000000000000001E-2</v>
      </c>
      <c r="I51" s="240" t="s">
        <v>468</v>
      </c>
      <c r="J51" s="240">
        <v>1.7000000000000001E-2</v>
      </c>
      <c r="K51" s="240" t="s">
        <v>468</v>
      </c>
      <c r="L51" s="240">
        <v>0</v>
      </c>
      <c r="M51" s="240">
        <v>0</v>
      </c>
      <c r="N51" s="240">
        <v>0</v>
      </c>
      <c r="O51" s="241" t="s">
        <v>546</v>
      </c>
      <c r="P51" s="240">
        <f t="shared" si="0"/>
        <v>0.05</v>
      </c>
      <c r="Q51" s="240" t="s">
        <v>546</v>
      </c>
      <c r="R51" s="46"/>
      <c r="S51" s="46"/>
      <c r="T51" s="46"/>
      <c r="U51" s="46"/>
      <c r="V51" s="46"/>
      <c r="W51" s="46"/>
      <c r="X51" s="46"/>
      <c r="Y51" s="46"/>
      <c r="Z51" s="46"/>
      <c r="AA51" s="46"/>
      <c r="AB51" s="46"/>
    </row>
    <row r="52" spans="1:28" x14ac:dyDescent="0.35">
      <c r="A52" s="239" t="s">
        <v>158</v>
      </c>
      <c r="B52" s="239" t="s">
        <v>122</v>
      </c>
      <c r="C52" s="239">
        <v>8318</v>
      </c>
      <c r="D52" s="239">
        <v>831764</v>
      </c>
      <c r="E52" s="240" t="s">
        <v>546</v>
      </c>
      <c r="F52" s="249">
        <v>0.1</v>
      </c>
      <c r="G52" s="240">
        <v>0.05</v>
      </c>
      <c r="H52" s="240">
        <v>1.7000000000000001E-4</v>
      </c>
      <c r="I52" s="240" t="s">
        <v>468</v>
      </c>
      <c r="J52" s="240">
        <v>1.7000000000000001E-4</v>
      </c>
      <c r="K52" s="240" t="s">
        <v>468</v>
      </c>
      <c r="L52" s="240">
        <v>0</v>
      </c>
      <c r="M52" s="240">
        <v>0</v>
      </c>
      <c r="N52" s="240">
        <v>0</v>
      </c>
      <c r="O52" s="241" t="s">
        <v>546</v>
      </c>
      <c r="P52" s="240">
        <f t="shared" si="0"/>
        <v>0.05</v>
      </c>
      <c r="Q52" s="240" t="s">
        <v>546</v>
      </c>
      <c r="R52" s="46"/>
      <c r="S52" s="46"/>
      <c r="T52" s="46"/>
      <c r="U52" s="46"/>
      <c r="V52" s="46"/>
      <c r="W52" s="46"/>
      <c r="X52" s="46"/>
      <c r="Y52" s="46"/>
      <c r="Z52" s="46"/>
      <c r="AA52" s="46"/>
      <c r="AB52" s="46"/>
    </row>
    <row r="53" spans="1:28" x14ac:dyDescent="0.35">
      <c r="A53" s="239" t="s">
        <v>157</v>
      </c>
      <c r="B53" s="239" t="s">
        <v>122</v>
      </c>
      <c r="C53" s="239">
        <v>23442</v>
      </c>
      <c r="D53" s="239">
        <v>2344229</v>
      </c>
      <c r="E53" s="240" t="s">
        <v>546</v>
      </c>
      <c r="F53" s="248">
        <v>0.05</v>
      </c>
      <c r="G53" s="240">
        <v>0.05</v>
      </c>
      <c r="H53" s="240">
        <v>2.7000000000000001E-3</v>
      </c>
      <c r="I53" s="240" t="s">
        <v>468</v>
      </c>
      <c r="J53" s="240">
        <v>2.7000000000000001E-3</v>
      </c>
      <c r="K53" s="240" t="s">
        <v>468</v>
      </c>
      <c r="L53" s="240">
        <v>0</v>
      </c>
      <c r="M53" s="240">
        <v>0</v>
      </c>
      <c r="N53" s="240">
        <v>0</v>
      </c>
      <c r="O53" s="241" t="s">
        <v>546</v>
      </c>
      <c r="P53" s="240">
        <f t="shared" si="0"/>
        <v>0.05</v>
      </c>
      <c r="Q53" s="240" t="s">
        <v>546</v>
      </c>
      <c r="R53" s="46"/>
      <c r="S53" s="46"/>
      <c r="T53" s="46"/>
      <c r="U53" s="46"/>
      <c r="V53" s="46"/>
      <c r="W53" s="46"/>
      <c r="X53" s="46"/>
      <c r="Y53" s="46"/>
      <c r="Z53" s="46"/>
      <c r="AA53" s="46"/>
      <c r="AB53" s="46"/>
    </row>
    <row r="54" spans="1:28" x14ac:dyDescent="0.35">
      <c r="A54" s="239" t="s">
        <v>156</v>
      </c>
      <c r="B54" s="239" t="s">
        <v>122</v>
      </c>
      <c r="C54" s="239">
        <v>19498</v>
      </c>
      <c r="D54" s="239">
        <v>1949845</v>
      </c>
      <c r="E54" s="240" t="s">
        <v>546</v>
      </c>
      <c r="F54" s="248">
        <v>0.05</v>
      </c>
      <c r="G54" s="240">
        <v>0.05</v>
      </c>
      <c r="H54" s="240">
        <v>6.0725039623088354E-4</v>
      </c>
      <c r="I54" s="240" t="s">
        <v>468</v>
      </c>
      <c r="J54" s="240">
        <v>6.0725039623088354E-4</v>
      </c>
      <c r="K54" s="240" t="s">
        <v>468</v>
      </c>
      <c r="L54" s="240">
        <v>0</v>
      </c>
      <c r="M54" s="240">
        <v>0</v>
      </c>
      <c r="N54" s="240">
        <v>0</v>
      </c>
      <c r="O54" s="241" t="s">
        <v>546</v>
      </c>
      <c r="P54" s="240">
        <f t="shared" si="0"/>
        <v>0.05</v>
      </c>
      <c r="Q54" s="240" t="s">
        <v>546</v>
      </c>
      <c r="R54" s="46"/>
      <c r="S54" s="46"/>
      <c r="T54" s="46"/>
      <c r="U54" s="46"/>
      <c r="V54" s="46"/>
      <c r="W54" s="46"/>
      <c r="X54" s="46"/>
      <c r="Y54" s="46"/>
      <c r="Z54" s="46"/>
      <c r="AA54" s="46"/>
      <c r="AB54" s="46"/>
    </row>
    <row r="55" spans="1:28" x14ac:dyDescent="0.35">
      <c r="A55" s="239" t="s">
        <v>155</v>
      </c>
      <c r="B55" s="239" t="s">
        <v>122</v>
      </c>
      <c r="C55" s="239">
        <v>10233</v>
      </c>
      <c r="D55" s="239">
        <v>1023293</v>
      </c>
      <c r="E55" s="240" t="s">
        <v>546</v>
      </c>
      <c r="F55" s="248">
        <v>0.1</v>
      </c>
      <c r="G55" s="240">
        <v>0.05</v>
      </c>
      <c r="H55" s="240">
        <v>8.2000000000000007E-3</v>
      </c>
      <c r="I55" s="240" t="s">
        <v>468</v>
      </c>
      <c r="J55" s="240">
        <v>8.1999999999999998E-4</v>
      </c>
      <c r="K55" s="240" t="s">
        <v>468</v>
      </c>
      <c r="L55" s="240">
        <v>0</v>
      </c>
      <c r="M55" s="240">
        <v>0</v>
      </c>
      <c r="N55" s="240">
        <v>0</v>
      </c>
      <c r="O55" s="241" t="s">
        <v>546</v>
      </c>
      <c r="P55" s="240">
        <f t="shared" si="0"/>
        <v>0.05</v>
      </c>
      <c r="Q55" s="240" t="s">
        <v>546</v>
      </c>
      <c r="R55" s="46"/>
      <c r="S55" s="46"/>
      <c r="T55" s="46"/>
      <c r="U55" s="46"/>
      <c r="V55" s="46"/>
      <c r="W55" s="46"/>
      <c r="X55" s="46"/>
      <c r="Y55" s="46"/>
      <c r="Z55" s="46"/>
      <c r="AA55" s="46"/>
      <c r="AB55" s="46"/>
    </row>
    <row r="56" spans="1:28" x14ac:dyDescent="0.35">
      <c r="A56" s="242" t="s">
        <v>154</v>
      </c>
      <c r="B56" s="239" t="s">
        <v>122</v>
      </c>
      <c r="C56" s="239">
        <v>1.3</v>
      </c>
      <c r="D56" s="239">
        <v>134</v>
      </c>
      <c r="E56" s="240" t="s">
        <v>546</v>
      </c>
      <c r="F56" s="249">
        <v>0.01</v>
      </c>
      <c r="G56" s="240">
        <v>80</v>
      </c>
      <c r="H56" s="240">
        <v>10</v>
      </c>
      <c r="I56" s="240" t="s">
        <v>482</v>
      </c>
      <c r="J56" s="240">
        <v>8</v>
      </c>
      <c r="K56" s="240" t="s">
        <v>482</v>
      </c>
      <c r="L56" s="240">
        <v>0</v>
      </c>
      <c r="M56" s="240">
        <v>0</v>
      </c>
      <c r="N56" s="240">
        <v>0</v>
      </c>
      <c r="O56" s="241" t="s">
        <v>546</v>
      </c>
      <c r="P56" s="240">
        <f t="shared" si="0"/>
        <v>0</v>
      </c>
      <c r="Q56" s="240" t="s">
        <v>546</v>
      </c>
      <c r="R56" s="46"/>
      <c r="S56" s="46"/>
      <c r="T56" s="46"/>
      <c r="U56" s="46"/>
      <c r="V56" s="46"/>
      <c r="W56" s="46"/>
      <c r="X56" s="46"/>
      <c r="Y56" s="46"/>
      <c r="Z56" s="46"/>
      <c r="AA56" s="46"/>
      <c r="AB56" s="46"/>
    </row>
    <row r="57" spans="1:28" x14ac:dyDescent="0.35">
      <c r="A57" s="242" t="s">
        <v>153</v>
      </c>
      <c r="B57" s="239" t="s">
        <v>122</v>
      </c>
      <c r="C57" s="239">
        <v>0.64</v>
      </c>
      <c r="D57" s="239">
        <v>63.8</v>
      </c>
      <c r="E57" s="240" t="s">
        <v>546</v>
      </c>
      <c r="F57" s="239">
        <v>0.3</v>
      </c>
      <c r="G57" s="240">
        <v>74</v>
      </c>
      <c r="H57" s="240">
        <v>680</v>
      </c>
      <c r="I57" s="240" t="s">
        <v>470</v>
      </c>
      <c r="J57" s="240">
        <v>680</v>
      </c>
      <c r="K57" s="240" t="s">
        <v>470</v>
      </c>
      <c r="L57" s="240">
        <v>0</v>
      </c>
      <c r="M57" s="240">
        <v>0</v>
      </c>
      <c r="N57" s="240">
        <v>0</v>
      </c>
      <c r="O57" s="241" t="s">
        <v>546</v>
      </c>
      <c r="P57" s="240">
        <f t="shared" si="0"/>
        <v>0</v>
      </c>
      <c r="Q57" s="240" t="s">
        <v>546</v>
      </c>
      <c r="R57" s="46"/>
      <c r="S57" s="46"/>
      <c r="T57" s="46"/>
      <c r="U57" s="46"/>
      <c r="V57" s="46"/>
      <c r="W57" s="46"/>
      <c r="X57" s="46"/>
      <c r="Y57" s="46"/>
      <c r="Z57" s="46"/>
      <c r="AA57" s="46"/>
      <c r="AB57" s="46"/>
    </row>
    <row r="58" spans="1:28" x14ac:dyDescent="0.35">
      <c r="A58" s="242" t="s">
        <v>152</v>
      </c>
      <c r="B58" s="239" t="s">
        <v>122</v>
      </c>
      <c r="C58" s="239">
        <v>2.5</v>
      </c>
      <c r="D58" s="239">
        <v>250</v>
      </c>
      <c r="E58" s="240" t="s">
        <v>546</v>
      </c>
      <c r="F58" s="239">
        <v>0.2</v>
      </c>
      <c r="G58" s="240">
        <v>0.5</v>
      </c>
      <c r="H58" s="240">
        <v>100</v>
      </c>
      <c r="I58" s="240" t="s">
        <v>469</v>
      </c>
      <c r="J58" s="240">
        <v>10</v>
      </c>
      <c r="K58" s="240" t="s">
        <v>469</v>
      </c>
      <c r="L58" s="240">
        <v>0</v>
      </c>
      <c r="M58" s="240">
        <v>0</v>
      </c>
      <c r="N58" s="240">
        <v>0</v>
      </c>
      <c r="O58" s="241" t="s">
        <v>546</v>
      </c>
      <c r="P58" s="240">
        <f t="shared" si="0"/>
        <v>0</v>
      </c>
      <c r="Q58" s="240" t="s">
        <v>546</v>
      </c>
      <c r="R58" s="46"/>
      <c r="S58" s="46"/>
      <c r="T58" s="46"/>
      <c r="U58" s="46"/>
      <c r="V58" s="46"/>
      <c r="W58" s="46"/>
      <c r="X58" s="46"/>
      <c r="Y58" s="46"/>
      <c r="Z58" s="46"/>
      <c r="AA58" s="46"/>
      <c r="AB58" s="46"/>
    </row>
    <row r="59" spans="1:28" x14ac:dyDescent="0.35">
      <c r="A59" s="242" t="s">
        <v>151</v>
      </c>
      <c r="B59" s="239" t="s">
        <v>122</v>
      </c>
      <c r="C59" s="239">
        <v>2.5</v>
      </c>
      <c r="D59" s="239">
        <v>250</v>
      </c>
      <c r="E59" s="240" t="s">
        <v>546</v>
      </c>
      <c r="F59" s="239">
        <v>0.2</v>
      </c>
      <c r="G59" s="240">
        <v>3.5</v>
      </c>
      <c r="H59" s="240">
        <v>327</v>
      </c>
      <c r="I59" s="240" t="s">
        <v>470</v>
      </c>
      <c r="J59" s="240">
        <v>327</v>
      </c>
      <c r="K59" s="240" t="s">
        <v>470</v>
      </c>
      <c r="L59" s="240">
        <v>0</v>
      </c>
      <c r="M59" s="240">
        <v>0</v>
      </c>
      <c r="N59" s="240">
        <v>0</v>
      </c>
      <c r="O59" s="241" t="s">
        <v>546</v>
      </c>
      <c r="P59" s="240">
        <f t="shared" si="0"/>
        <v>0</v>
      </c>
      <c r="Q59" s="240" t="s">
        <v>546</v>
      </c>
      <c r="R59" s="46"/>
      <c r="S59" s="46"/>
      <c r="T59" s="46"/>
      <c r="U59" s="46"/>
      <c r="V59" s="46"/>
      <c r="W59" s="46"/>
      <c r="X59" s="46"/>
      <c r="Y59" s="46"/>
      <c r="Z59" s="46"/>
      <c r="AA59" s="46"/>
      <c r="AB59" s="46"/>
    </row>
    <row r="60" spans="1:28" x14ac:dyDescent="0.35">
      <c r="A60" s="242" t="s">
        <v>150</v>
      </c>
      <c r="B60" s="239" t="s">
        <v>122</v>
      </c>
      <c r="C60" s="239">
        <v>8</v>
      </c>
      <c r="D60" s="239">
        <v>800</v>
      </c>
      <c r="E60" s="240" t="s">
        <v>546</v>
      </c>
      <c r="F60" s="249">
        <v>7</v>
      </c>
      <c r="G60" s="240">
        <v>40</v>
      </c>
      <c r="H60" s="240">
        <v>40</v>
      </c>
      <c r="I60" s="240" t="s">
        <v>467</v>
      </c>
      <c r="J60" s="240" t="s">
        <v>466</v>
      </c>
      <c r="K60" s="240" t="s">
        <v>467</v>
      </c>
      <c r="L60" s="240">
        <v>0</v>
      </c>
      <c r="M60" s="240">
        <v>0</v>
      </c>
      <c r="N60" s="240">
        <v>0</v>
      </c>
      <c r="O60" s="241" t="s">
        <v>546</v>
      </c>
      <c r="P60" s="240">
        <f t="shared" si="0"/>
        <v>0</v>
      </c>
      <c r="Q60" s="240" t="s">
        <v>546</v>
      </c>
      <c r="R60" s="46"/>
      <c r="S60" s="46"/>
      <c r="T60" s="46"/>
      <c r="U60" s="46"/>
      <c r="V60" s="46"/>
      <c r="W60" s="46"/>
      <c r="X60" s="46"/>
      <c r="Y60" s="46"/>
      <c r="Z60" s="46"/>
      <c r="AA60" s="46"/>
      <c r="AB60" s="46"/>
    </row>
    <row r="61" spans="1:28" x14ac:dyDescent="0.35">
      <c r="A61" s="242" t="s">
        <v>149</v>
      </c>
      <c r="B61" s="239" t="s">
        <v>122</v>
      </c>
      <c r="C61" s="239">
        <v>40</v>
      </c>
      <c r="D61" s="239">
        <v>4000</v>
      </c>
      <c r="E61" s="240" t="s">
        <v>546</v>
      </c>
      <c r="F61" s="249">
        <v>7</v>
      </c>
      <c r="G61" s="240">
        <v>40</v>
      </c>
      <c r="H61" s="240">
        <v>40</v>
      </c>
      <c r="I61" s="240" t="s">
        <v>467</v>
      </c>
      <c r="J61" s="240" t="s">
        <v>466</v>
      </c>
      <c r="K61" s="240" t="s">
        <v>467</v>
      </c>
      <c r="L61" s="240">
        <v>0</v>
      </c>
      <c r="M61" s="240">
        <v>0</v>
      </c>
      <c r="N61" s="240">
        <v>0</v>
      </c>
      <c r="O61" s="241" t="s">
        <v>546</v>
      </c>
      <c r="P61" s="240">
        <f t="shared" si="0"/>
        <v>0</v>
      </c>
      <c r="Q61" s="240" t="s">
        <v>546</v>
      </c>
      <c r="R61" s="46"/>
      <c r="S61" s="46"/>
      <c r="T61" s="46"/>
      <c r="U61" s="46"/>
      <c r="V61" s="46"/>
      <c r="W61" s="46"/>
      <c r="X61" s="46"/>
      <c r="Y61" s="46"/>
      <c r="Z61" s="46"/>
      <c r="AA61" s="46"/>
      <c r="AB61" s="46"/>
    </row>
    <row r="62" spans="1:28" x14ac:dyDescent="0.35">
      <c r="A62" s="239" t="s">
        <v>148</v>
      </c>
      <c r="B62" s="239" t="s">
        <v>122</v>
      </c>
      <c r="C62" s="239">
        <v>320</v>
      </c>
      <c r="D62" s="250">
        <v>32000</v>
      </c>
      <c r="E62" s="240" t="s">
        <v>546</v>
      </c>
      <c r="F62" s="239">
        <v>10</v>
      </c>
      <c r="G62" s="240">
        <v>40</v>
      </c>
      <c r="H62" s="240">
        <v>40</v>
      </c>
      <c r="I62" s="240" t="s">
        <v>467</v>
      </c>
      <c r="J62" s="240" t="s">
        <v>466</v>
      </c>
      <c r="K62" s="240" t="s">
        <v>467</v>
      </c>
      <c r="L62" s="240">
        <v>0</v>
      </c>
      <c r="M62" s="240">
        <v>0</v>
      </c>
      <c r="N62" s="240">
        <v>0</v>
      </c>
      <c r="O62" s="241" t="s">
        <v>546</v>
      </c>
      <c r="P62" s="240">
        <f t="shared" si="0"/>
        <v>0.05</v>
      </c>
      <c r="Q62" s="240" t="s">
        <v>546</v>
      </c>
      <c r="R62" s="46"/>
      <c r="S62" s="46"/>
      <c r="T62" s="46"/>
      <c r="U62" s="46"/>
      <c r="V62" s="46"/>
      <c r="W62" s="46"/>
      <c r="X62" s="46"/>
      <c r="Y62" s="46"/>
      <c r="Z62" s="46"/>
      <c r="AA62" s="46"/>
      <c r="AB62" s="46"/>
    </row>
    <row r="63" spans="1:28" x14ac:dyDescent="0.35">
      <c r="A63" s="239" t="s">
        <v>147</v>
      </c>
      <c r="B63" s="239" t="s">
        <v>122</v>
      </c>
      <c r="C63" s="239"/>
      <c r="D63" s="239"/>
      <c r="E63" s="240" t="s">
        <v>546</v>
      </c>
      <c r="F63" s="239"/>
      <c r="G63" s="240">
        <v>120</v>
      </c>
      <c r="H63" s="240">
        <v>120</v>
      </c>
      <c r="I63" s="240" t="s">
        <v>467</v>
      </c>
      <c r="J63" s="240" t="s">
        <v>466</v>
      </c>
      <c r="K63" s="240" t="s">
        <v>467</v>
      </c>
      <c r="L63" s="240">
        <v>0</v>
      </c>
      <c r="M63" s="240">
        <v>0</v>
      </c>
      <c r="N63" s="240">
        <v>0</v>
      </c>
      <c r="O63" s="241" t="s">
        <v>546</v>
      </c>
      <c r="P63" s="240">
        <f t="shared" si="0"/>
        <v>0</v>
      </c>
      <c r="Q63" s="240" t="s">
        <v>546</v>
      </c>
      <c r="R63" s="46"/>
      <c r="S63" s="46"/>
      <c r="T63" s="46"/>
      <c r="U63" s="46"/>
      <c r="V63" s="46"/>
      <c r="W63" s="46"/>
      <c r="X63" s="46"/>
      <c r="Y63" s="46"/>
      <c r="Z63" s="46"/>
      <c r="AA63" s="46"/>
      <c r="AB63" s="46"/>
    </row>
    <row r="64" spans="1:28" x14ac:dyDescent="0.35">
      <c r="A64" s="239" t="s">
        <v>146</v>
      </c>
      <c r="B64" s="239" t="s">
        <v>122</v>
      </c>
      <c r="C64" s="239">
        <v>2500</v>
      </c>
      <c r="D64" s="239">
        <v>250000</v>
      </c>
      <c r="E64" s="240" t="s">
        <v>546</v>
      </c>
      <c r="F64" s="239">
        <v>50</v>
      </c>
      <c r="G64" s="240">
        <v>1000</v>
      </c>
      <c r="H64" s="240">
        <v>1000</v>
      </c>
      <c r="I64" s="240" t="s">
        <v>467</v>
      </c>
      <c r="J64" s="240" t="s">
        <v>466</v>
      </c>
      <c r="K64" s="240" t="s">
        <v>467</v>
      </c>
      <c r="L64" s="240">
        <v>0</v>
      </c>
      <c r="M64" s="240">
        <v>0</v>
      </c>
      <c r="N64" s="240">
        <v>0</v>
      </c>
      <c r="O64" s="241" t="s">
        <v>546</v>
      </c>
      <c r="P64" s="240">
        <f t="shared" si="0"/>
        <v>0.05</v>
      </c>
      <c r="Q64" s="240" t="s">
        <v>546</v>
      </c>
      <c r="R64" s="46"/>
      <c r="S64" s="46"/>
      <c r="T64" s="46"/>
      <c r="U64" s="46"/>
      <c r="V64" s="46"/>
      <c r="W64" s="46"/>
      <c r="X64" s="46"/>
      <c r="Y64" s="46"/>
      <c r="Z64" s="46"/>
      <c r="AA64" s="46"/>
      <c r="AB64" s="46"/>
    </row>
    <row r="65" spans="1:28" x14ac:dyDescent="0.35">
      <c r="A65" s="239" t="s">
        <v>145</v>
      </c>
      <c r="B65" s="239" t="s">
        <v>122</v>
      </c>
      <c r="C65" s="239">
        <v>10000000</v>
      </c>
      <c r="D65" s="239">
        <v>1000000000</v>
      </c>
      <c r="E65" s="240" t="s">
        <v>546</v>
      </c>
      <c r="F65" s="239">
        <v>100</v>
      </c>
      <c r="G65" s="240">
        <v>1000</v>
      </c>
      <c r="H65" s="240">
        <v>1000</v>
      </c>
      <c r="I65" s="240" t="s">
        <v>467</v>
      </c>
      <c r="J65" s="240" t="s">
        <v>466</v>
      </c>
      <c r="K65" s="240" t="s">
        <v>467</v>
      </c>
      <c r="L65" s="240">
        <v>0</v>
      </c>
      <c r="M65" s="240">
        <v>0</v>
      </c>
      <c r="N65" s="240">
        <v>0</v>
      </c>
      <c r="O65" s="241" t="s">
        <v>546</v>
      </c>
      <c r="P65" s="240">
        <f t="shared" si="0"/>
        <v>0.05</v>
      </c>
      <c r="Q65" s="240" t="s">
        <v>546</v>
      </c>
      <c r="R65" s="46"/>
      <c r="S65" s="46"/>
      <c r="T65" s="46"/>
      <c r="U65" s="46"/>
      <c r="V65" s="46"/>
      <c r="W65" s="46"/>
      <c r="X65" s="46"/>
      <c r="Y65" s="46"/>
      <c r="Z65" s="46"/>
      <c r="AA65" s="46"/>
      <c r="AB65" s="46"/>
    </row>
    <row r="66" spans="1:28" x14ac:dyDescent="0.35">
      <c r="A66" s="239" t="s">
        <v>144</v>
      </c>
      <c r="B66" s="239" t="s">
        <v>122</v>
      </c>
      <c r="C66" s="239">
        <v>0.06</v>
      </c>
      <c r="D66" s="239">
        <v>6</v>
      </c>
      <c r="E66" s="240" t="s">
        <v>546</v>
      </c>
      <c r="F66" s="239">
        <v>0.16</v>
      </c>
      <c r="G66" s="240">
        <v>2600</v>
      </c>
      <c r="H66" s="240">
        <v>5100</v>
      </c>
      <c r="I66" s="240" t="s">
        <v>469</v>
      </c>
      <c r="J66" s="240">
        <v>260</v>
      </c>
      <c r="K66" s="240" t="s">
        <v>474</v>
      </c>
      <c r="L66" s="240">
        <v>0</v>
      </c>
      <c r="M66" s="240">
        <v>0</v>
      </c>
      <c r="N66" s="240">
        <v>0</v>
      </c>
      <c r="O66" s="241" t="s">
        <v>546</v>
      </c>
      <c r="P66" s="240">
        <f t="shared" si="0"/>
        <v>0</v>
      </c>
      <c r="Q66" s="240" t="s">
        <v>546</v>
      </c>
      <c r="R66" s="46"/>
      <c r="S66" s="46"/>
      <c r="T66" s="46"/>
      <c r="U66" s="46"/>
      <c r="V66" s="46"/>
      <c r="W66" s="46"/>
      <c r="X66" s="46"/>
      <c r="Y66" s="46"/>
      <c r="Z66" s="46"/>
      <c r="AA66" s="46"/>
      <c r="AB66" s="46"/>
    </row>
    <row r="67" spans="1:28" x14ac:dyDescent="0.35">
      <c r="A67" s="239" t="s">
        <v>143</v>
      </c>
      <c r="B67" s="239" t="s">
        <v>122</v>
      </c>
      <c r="C67" s="239">
        <v>13.000000000000012</v>
      </c>
      <c r="D67" s="239">
        <v>1300.0000000000011</v>
      </c>
      <c r="E67" s="240" t="s">
        <v>546</v>
      </c>
      <c r="F67" s="239">
        <v>1E-3</v>
      </c>
      <c r="G67" s="240">
        <v>4.0000000000000001E-3</v>
      </c>
      <c r="H67" s="240">
        <v>2.7E-2</v>
      </c>
      <c r="I67" s="240" t="s">
        <v>472</v>
      </c>
      <c r="J67" s="240">
        <v>3.0000000000000001E-3</v>
      </c>
      <c r="K67" s="240" t="s">
        <v>483</v>
      </c>
      <c r="L67" s="240">
        <v>0</v>
      </c>
      <c r="M67" s="240">
        <v>0</v>
      </c>
      <c r="N67" s="240">
        <v>0</v>
      </c>
      <c r="O67" s="241" t="s">
        <v>546</v>
      </c>
      <c r="P67" s="240">
        <f t="shared" si="0"/>
        <v>0</v>
      </c>
      <c r="Q67" s="240" t="s">
        <v>546</v>
      </c>
      <c r="R67" s="46"/>
      <c r="S67" s="46"/>
      <c r="T67" s="46"/>
      <c r="U67" s="46"/>
      <c r="V67" s="46"/>
      <c r="W67" s="46"/>
      <c r="X67" s="46"/>
      <c r="Y67" s="46"/>
      <c r="Z67" s="46"/>
      <c r="AA67" s="46"/>
      <c r="AB67" s="46"/>
    </row>
    <row r="68" spans="1:28" x14ac:dyDescent="0.35">
      <c r="A68" s="244" t="s">
        <v>142</v>
      </c>
      <c r="B68" s="244" t="s">
        <v>122</v>
      </c>
      <c r="C68" s="244">
        <v>5659</v>
      </c>
      <c r="D68" s="244">
        <v>565860</v>
      </c>
      <c r="E68" s="240" t="s">
        <v>546</v>
      </c>
      <c r="F68" s="244">
        <v>0.08</v>
      </c>
      <c r="G68" s="240">
        <v>0.53</v>
      </c>
      <c r="H68" s="240">
        <v>4.9000000000000002E-8</v>
      </c>
      <c r="I68" s="240" t="s">
        <v>468</v>
      </c>
      <c r="J68" s="240">
        <v>2.4E-9</v>
      </c>
      <c r="K68" s="240" t="s">
        <v>468</v>
      </c>
      <c r="L68" s="240">
        <v>0</v>
      </c>
      <c r="M68" s="240">
        <v>0</v>
      </c>
      <c r="N68" s="240">
        <v>0</v>
      </c>
      <c r="O68" s="241" t="s">
        <v>546</v>
      </c>
      <c r="P68" s="240">
        <f t="shared" ref="P68:P114" si="1">IF(OR(B68="uorganisk",D68&gt;(10^4)),0.05,0)</f>
        <v>0.05</v>
      </c>
      <c r="Q68" s="240" t="s">
        <v>546</v>
      </c>
      <c r="R68" s="46"/>
      <c r="S68" s="46"/>
      <c r="T68" s="46"/>
      <c r="U68" s="46"/>
      <c r="V68" s="46"/>
      <c r="W68" s="46"/>
      <c r="X68" s="46"/>
      <c r="Y68" s="46"/>
      <c r="Z68" s="46"/>
      <c r="AA68" s="46"/>
      <c r="AB68" s="46"/>
    </row>
    <row r="69" spans="1:28" x14ac:dyDescent="0.35">
      <c r="A69" s="244" t="s">
        <v>141</v>
      </c>
      <c r="B69" s="244" t="s">
        <v>122</v>
      </c>
      <c r="C69" s="244">
        <v>5659</v>
      </c>
      <c r="D69" s="251">
        <v>565860</v>
      </c>
      <c r="E69" s="240" t="s">
        <v>546</v>
      </c>
      <c r="F69" s="252">
        <v>0.08</v>
      </c>
      <c r="G69" s="240"/>
      <c r="H69" s="253"/>
      <c r="I69" s="240"/>
      <c r="J69" s="240"/>
      <c r="K69" s="240"/>
      <c r="L69" s="240">
        <v>0</v>
      </c>
      <c r="M69" s="240">
        <v>0</v>
      </c>
      <c r="N69" s="240">
        <v>0</v>
      </c>
      <c r="O69" s="241" t="s">
        <v>546</v>
      </c>
      <c r="P69" s="240">
        <f t="shared" si="1"/>
        <v>0.05</v>
      </c>
      <c r="Q69" s="240" t="s">
        <v>546</v>
      </c>
      <c r="R69" s="46"/>
      <c r="S69" s="46"/>
      <c r="T69" s="46"/>
      <c r="U69" s="46"/>
      <c r="V69" s="46"/>
      <c r="W69" s="46"/>
      <c r="X69" s="46"/>
      <c r="Y69" s="46"/>
      <c r="Z69" s="46"/>
      <c r="AA69" s="46"/>
      <c r="AB69" s="46"/>
    </row>
    <row r="70" spans="1:28" x14ac:dyDescent="0.35">
      <c r="A70" s="244" t="s">
        <v>140</v>
      </c>
      <c r="B70" s="244" t="s">
        <v>122</v>
      </c>
      <c r="C70" s="244">
        <v>5250000000</v>
      </c>
      <c r="D70" s="244">
        <v>525000000000</v>
      </c>
      <c r="E70" s="240" t="s">
        <v>546</v>
      </c>
      <c r="F70" s="244">
        <v>2E-3</v>
      </c>
      <c r="G70" s="240">
        <v>384000</v>
      </c>
      <c r="H70" s="253"/>
      <c r="I70" s="240" t="s">
        <v>467</v>
      </c>
      <c r="J70" s="240" t="s">
        <v>466</v>
      </c>
      <c r="K70" s="240" t="s">
        <v>467</v>
      </c>
      <c r="L70" s="240">
        <v>0</v>
      </c>
      <c r="M70" s="240">
        <v>0</v>
      </c>
      <c r="N70" s="240">
        <v>0</v>
      </c>
      <c r="O70" s="241" t="s">
        <v>546</v>
      </c>
      <c r="P70" s="240">
        <f t="shared" si="1"/>
        <v>0.05</v>
      </c>
      <c r="Q70" s="240" t="s">
        <v>546</v>
      </c>
      <c r="R70" s="46"/>
      <c r="S70" s="46"/>
      <c r="T70" s="46"/>
      <c r="U70" s="46"/>
      <c r="V70" s="46"/>
      <c r="W70" s="46"/>
      <c r="X70" s="46"/>
      <c r="Y70" s="46"/>
      <c r="Z70" s="46"/>
      <c r="AA70" s="46"/>
      <c r="AB70" s="46"/>
    </row>
    <row r="71" spans="1:28" x14ac:dyDescent="0.35">
      <c r="A71" s="244" t="s">
        <v>139</v>
      </c>
      <c r="B71" s="244" t="s">
        <v>122</v>
      </c>
      <c r="C71" s="244">
        <v>457</v>
      </c>
      <c r="D71" s="244">
        <v>45709</v>
      </c>
      <c r="E71" s="240" t="s">
        <v>546</v>
      </c>
      <c r="F71" s="252">
        <v>0.04</v>
      </c>
      <c r="G71" s="240">
        <v>0.31</v>
      </c>
      <c r="H71" s="240">
        <v>1.5907791960373405E-3</v>
      </c>
      <c r="I71" s="240" t="s">
        <v>468</v>
      </c>
      <c r="J71" s="240">
        <v>8.0000000000000004E-4</v>
      </c>
      <c r="K71" s="240" t="s">
        <v>468</v>
      </c>
      <c r="L71" s="240">
        <v>0</v>
      </c>
      <c r="M71" s="240">
        <v>0</v>
      </c>
      <c r="N71" s="240">
        <v>0</v>
      </c>
      <c r="O71" s="241" t="s">
        <v>546</v>
      </c>
      <c r="P71" s="240">
        <f t="shared" si="1"/>
        <v>0.05</v>
      </c>
      <c r="Q71" s="240" t="s">
        <v>546</v>
      </c>
      <c r="R71" s="46"/>
      <c r="S71" s="46"/>
      <c r="T71" s="46"/>
      <c r="U71" s="46"/>
      <c r="V71" s="46"/>
      <c r="W71" s="46"/>
      <c r="X71" s="46"/>
      <c r="Y71" s="46"/>
      <c r="Z71" s="46"/>
      <c r="AA71" s="46"/>
      <c r="AB71" s="46"/>
    </row>
    <row r="72" spans="1:28" x14ac:dyDescent="0.35">
      <c r="A72" s="244" t="s">
        <v>138</v>
      </c>
      <c r="B72" s="244" t="s">
        <v>122</v>
      </c>
      <c r="C72" s="244">
        <v>497</v>
      </c>
      <c r="D72" s="244">
        <v>49726</v>
      </c>
      <c r="E72" s="240" t="s">
        <v>546</v>
      </c>
      <c r="F72" s="252">
        <v>1E-3</v>
      </c>
      <c r="G72" s="240">
        <v>6.6</v>
      </c>
      <c r="H72" s="240">
        <v>0.254</v>
      </c>
      <c r="I72" s="240" t="s">
        <v>468</v>
      </c>
      <c r="J72" s="240">
        <v>0.254</v>
      </c>
      <c r="K72" s="240" t="s">
        <v>468</v>
      </c>
      <c r="L72" s="240">
        <v>0</v>
      </c>
      <c r="M72" s="240">
        <v>0</v>
      </c>
      <c r="N72" s="240">
        <v>0</v>
      </c>
      <c r="O72" s="241" t="s">
        <v>546</v>
      </c>
      <c r="P72" s="240">
        <f t="shared" si="1"/>
        <v>0.05</v>
      </c>
      <c r="Q72" s="240" t="s">
        <v>546</v>
      </c>
      <c r="R72" s="46"/>
      <c r="S72" s="46"/>
      <c r="T72" s="46"/>
      <c r="U72" s="46"/>
      <c r="V72" s="46"/>
      <c r="W72" s="46"/>
      <c r="X72" s="46"/>
      <c r="Y72" s="46"/>
      <c r="Z72" s="46"/>
      <c r="AA72" s="46"/>
      <c r="AB72" s="46"/>
    </row>
    <row r="73" spans="1:28" s="49" customFormat="1" x14ac:dyDescent="0.35">
      <c r="A73" s="244" t="s">
        <v>136</v>
      </c>
      <c r="B73" s="244" t="s">
        <v>122</v>
      </c>
      <c r="C73" s="244">
        <v>7.15</v>
      </c>
      <c r="D73" s="244">
        <v>715</v>
      </c>
      <c r="E73" s="240" t="s">
        <v>546</v>
      </c>
      <c r="F73" s="252">
        <v>0.01</v>
      </c>
      <c r="G73" s="240">
        <v>1.6</v>
      </c>
      <c r="H73" s="240">
        <v>1.5</v>
      </c>
      <c r="I73" s="240" t="s">
        <v>468</v>
      </c>
      <c r="J73" s="240">
        <v>0.15</v>
      </c>
      <c r="K73" s="240" t="s">
        <v>468</v>
      </c>
      <c r="L73" s="240">
        <v>0</v>
      </c>
      <c r="M73" s="240">
        <v>0</v>
      </c>
      <c r="N73" s="240">
        <v>0</v>
      </c>
      <c r="O73" s="241" t="s">
        <v>546</v>
      </c>
      <c r="P73" s="240">
        <f t="shared" si="1"/>
        <v>0</v>
      </c>
      <c r="Q73" s="240" t="s">
        <v>546</v>
      </c>
    </row>
    <row r="74" spans="1:28" x14ac:dyDescent="0.35">
      <c r="A74" s="244" t="s">
        <v>135</v>
      </c>
      <c r="B74" s="244" t="s">
        <v>122</v>
      </c>
      <c r="C74" s="244">
        <v>10</v>
      </c>
      <c r="D74" s="244">
        <v>1000</v>
      </c>
      <c r="E74" s="240" t="s">
        <v>546</v>
      </c>
      <c r="F74" s="244">
        <v>0.1</v>
      </c>
      <c r="G74" s="240">
        <v>2.5</v>
      </c>
      <c r="H74" s="240">
        <v>6.4999999999999997E-4</v>
      </c>
      <c r="I74" s="240" t="s">
        <v>468</v>
      </c>
      <c r="J74" s="240">
        <v>1.2999999999999999E-4</v>
      </c>
      <c r="K74" s="240" t="s">
        <v>468</v>
      </c>
      <c r="L74" s="240">
        <v>0</v>
      </c>
      <c r="M74" s="240">
        <v>0</v>
      </c>
      <c r="N74" s="240">
        <v>0</v>
      </c>
      <c r="O74" s="241" t="s">
        <v>546</v>
      </c>
      <c r="P74" s="240">
        <f t="shared" si="1"/>
        <v>0</v>
      </c>
      <c r="Q74" s="240" t="s">
        <v>546</v>
      </c>
      <c r="R74" s="46"/>
      <c r="S74" s="46"/>
      <c r="T74" s="46"/>
      <c r="U74" s="46"/>
      <c r="V74" s="46"/>
      <c r="W74" s="46"/>
      <c r="X74" s="46"/>
      <c r="Y74" s="46"/>
      <c r="Z74" s="46"/>
      <c r="AA74" s="46"/>
      <c r="AB74" s="46"/>
    </row>
    <row r="75" spans="1:28" x14ac:dyDescent="0.35">
      <c r="A75" s="244" t="s">
        <v>134</v>
      </c>
      <c r="B75" s="244" t="s">
        <v>122</v>
      </c>
      <c r="C75" s="244">
        <v>53.6</v>
      </c>
      <c r="D75" s="244">
        <v>5360</v>
      </c>
      <c r="E75" s="240" t="s">
        <v>546</v>
      </c>
      <c r="F75" s="252">
        <v>5.0000000000000001E-3</v>
      </c>
      <c r="G75" s="240">
        <v>0.04</v>
      </c>
      <c r="H75" s="240">
        <v>0.3</v>
      </c>
      <c r="I75" s="240" t="s">
        <v>468</v>
      </c>
      <c r="J75" s="240">
        <v>0.3</v>
      </c>
      <c r="K75" s="240" t="s">
        <v>468</v>
      </c>
      <c r="L75" s="240">
        <v>0</v>
      </c>
      <c r="M75" s="240">
        <v>0</v>
      </c>
      <c r="N75" s="240">
        <v>0</v>
      </c>
      <c r="O75" s="241" t="s">
        <v>546</v>
      </c>
      <c r="P75" s="240">
        <f t="shared" si="1"/>
        <v>0</v>
      </c>
      <c r="Q75" s="240" t="s">
        <v>546</v>
      </c>
      <c r="R75" s="46"/>
      <c r="S75" s="46"/>
      <c r="T75" s="46"/>
      <c r="U75" s="46"/>
      <c r="V75" s="46"/>
      <c r="W75" s="46"/>
      <c r="X75" s="46"/>
      <c r="Y75" s="46"/>
      <c r="Z75" s="46"/>
      <c r="AA75" s="46"/>
      <c r="AB75" s="46"/>
    </row>
    <row r="76" spans="1:28" x14ac:dyDescent="0.35">
      <c r="A76" s="244" t="s">
        <v>133</v>
      </c>
      <c r="B76" s="244" t="s">
        <v>122</v>
      </c>
      <c r="C76" s="244">
        <v>53.6</v>
      </c>
      <c r="D76" s="244">
        <v>5360</v>
      </c>
      <c r="E76" s="240" t="s">
        <v>546</v>
      </c>
      <c r="F76" s="252">
        <v>0.1</v>
      </c>
      <c r="G76" s="240"/>
      <c r="H76" s="244"/>
      <c r="I76" s="240"/>
      <c r="J76" s="240"/>
      <c r="K76" s="240"/>
      <c r="L76" s="240">
        <v>0</v>
      </c>
      <c r="M76" s="240">
        <v>0</v>
      </c>
      <c r="N76" s="240">
        <v>0</v>
      </c>
      <c r="O76" s="241" t="s">
        <v>546</v>
      </c>
      <c r="P76" s="240">
        <f t="shared" si="1"/>
        <v>0</v>
      </c>
      <c r="Q76" s="240" t="s">
        <v>546</v>
      </c>
      <c r="R76" s="46"/>
      <c r="S76" s="46"/>
      <c r="T76" s="46"/>
      <c r="U76" s="46"/>
      <c r="V76" s="46"/>
      <c r="W76" s="46"/>
      <c r="X76" s="46"/>
      <c r="Y76" s="46"/>
      <c r="Z76" s="46"/>
      <c r="AA76" s="46"/>
      <c r="AB76" s="46"/>
    </row>
    <row r="77" spans="1:28" x14ac:dyDescent="0.35">
      <c r="A77" s="244" t="s">
        <v>132</v>
      </c>
      <c r="B77" s="244" t="s">
        <v>122</v>
      </c>
      <c r="C77" s="244">
        <v>27.400000000000002</v>
      </c>
      <c r="D77" s="244">
        <v>2740</v>
      </c>
      <c r="E77" s="240" t="s">
        <v>546</v>
      </c>
      <c r="F77" s="252">
        <v>6.0000000000000001E-3</v>
      </c>
      <c r="G77" s="240">
        <v>0.12</v>
      </c>
      <c r="H77" s="240">
        <v>0.1</v>
      </c>
      <c r="I77" s="240" t="s">
        <v>468</v>
      </c>
      <c r="J77" s="240">
        <v>0.01</v>
      </c>
      <c r="K77" s="240" t="s">
        <v>468</v>
      </c>
      <c r="L77" s="240">
        <v>0</v>
      </c>
      <c r="M77" s="240">
        <v>0</v>
      </c>
      <c r="N77" s="240">
        <v>0</v>
      </c>
      <c r="O77" s="241" t="s">
        <v>546</v>
      </c>
      <c r="P77" s="240">
        <f t="shared" si="1"/>
        <v>0</v>
      </c>
      <c r="Q77" s="240" t="s">
        <v>546</v>
      </c>
      <c r="R77" s="46"/>
      <c r="S77" s="46"/>
      <c r="T77" s="46"/>
      <c r="U77" s="46"/>
      <c r="V77" s="46"/>
      <c r="W77" s="46"/>
      <c r="X77" s="46"/>
      <c r="Y77" s="46"/>
      <c r="Z77" s="46"/>
      <c r="AA77" s="46"/>
      <c r="AB77" s="46"/>
    </row>
    <row r="78" spans="1:28" x14ac:dyDescent="0.35">
      <c r="A78" s="244" t="s">
        <v>131</v>
      </c>
      <c r="B78" s="244" t="s">
        <v>122</v>
      </c>
      <c r="C78" s="244">
        <v>27.400000000000002</v>
      </c>
      <c r="D78" s="244">
        <v>2740</v>
      </c>
      <c r="E78" s="240" t="s">
        <v>546</v>
      </c>
      <c r="F78" s="252">
        <v>0.04</v>
      </c>
      <c r="G78" s="240"/>
      <c r="H78" s="244"/>
      <c r="I78" s="240"/>
      <c r="J78" s="240"/>
      <c r="K78" s="240"/>
      <c r="L78" s="240">
        <v>0</v>
      </c>
      <c r="M78" s="240">
        <v>0</v>
      </c>
      <c r="N78" s="240">
        <v>0</v>
      </c>
      <c r="O78" s="241" t="s">
        <v>546</v>
      </c>
      <c r="P78" s="240">
        <f t="shared" si="1"/>
        <v>0</v>
      </c>
      <c r="Q78" s="240" t="s">
        <v>546</v>
      </c>
      <c r="R78" s="46"/>
      <c r="S78" s="46"/>
      <c r="T78" s="46"/>
      <c r="U78" s="46"/>
      <c r="V78" s="46"/>
      <c r="W78" s="46"/>
      <c r="X78" s="46"/>
      <c r="Y78" s="46"/>
      <c r="Z78" s="46"/>
      <c r="AA78" s="46"/>
      <c r="AB78" s="46"/>
    </row>
    <row r="79" spans="1:28" x14ac:dyDescent="0.35">
      <c r="A79" s="244" t="s">
        <v>130</v>
      </c>
      <c r="B79" s="244" t="s">
        <v>122</v>
      </c>
      <c r="C79" s="244">
        <v>10.8</v>
      </c>
      <c r="D79" s="244">
        <v>1084</v>
      </c>
      <c r="E79" s="240" t="s">
        <v>546</v>
      </c>
      <c r="F79" s="244">
        <v>1.4999999999999999E-2</v>
      </c>
      <c r="G79" s="240">
        <v>1.3999999999999999E-4</v>
      </c>
      <c r="H79" s="240">
        <v>2.0000000000000001E-4</v>
      </c>
      <c r="I79" s="240" t="s">
        <v>468</v>
      </c>
      <c r="J79" s="240">
        <v>2.0000000000000001E-4</v>
      </c>
      <c r="K79" s="240" t="s">
        <v>468</v>
      </c>
      <c r="L79" s="240">
        <v>0</v>
      </c>
      <c r="M79" s="240">
        <v>0</v>
      </c>
      <c r="N79" s="240">
        <v>0</v>
      </c>
      <c r="O79" s="241" t="s">
        <v>546</v>
      </c>
      <c r="P79" s="240">
        <f t="shared" si="1"/>
        <v>0</v>
      </c>
      <c r="Q79" s="240" t="s">
        <v>546</v>
      </c>
      <c r="R79" s="46"/>
      <c r="S79" s="46"/>
      <c r="T79" s="46"/>
      <c r="U79" s="46"/>
      <c r="V79" s="46"/>
      <c r="W79" s="46"/>
      <c r="X79" s="46"/>
      <c r="Y79" s="46"/>
      <c r="Z79" s="46"/>
      <c r="AA79" s="46"/>
      <c r="AB79" s="46"/>
    </row>
    <row r="80" spans="1:28" x14ac:dyDescent="0.35">
      <c r="A80" s="244" t="s">
        <v>129</v>
      </c>
      <c r="B80" s="244" t="s">
        <v>122</v>
      </c>
      <c r="C80" s="244">
        <v>19</v>
      </c>
      <c r="D80" s="244">
        <v>1900</v>
      </c>
      <c r="E80" s="240" t="s">
        <v>546</v>
      </c>
      <c r="F80" s="244">
        <v>1.4999999999999999E-2</v>
      </c>
      <c r="G80" s="240">
        <v>5.9999999999999995E-4</v>
      </c>
      <c r="H80" s="240">
        <v>1.9E-3</v>
      </c>
      <c r="I80" s="240" t="s">
        <v>468</v>
      </c>
      <c r="J80" s="240">
        <v>1.9E-3</v>
      </c>
      <c r="K80" s="240" t="s">
        <v>468</v>
      </c>
      <c r="L80" s="240">
        <v>0</v>
      </c>
      <c r="M80" s="240">
        <v>0</v>
      </c>
      <c r="N80" s="240">
        <v>0</v>
      </c>
      <c r="O80" s="241" t="s">
        <v>546</v>
      </c>
      <c r="P80" s="240">
        <f t="shared" si="1"/>
        <v>0</v>
      </c>
      <c r="Q80" s="240" t="s">
        <v>546</v>
      </c>
      <c r="R80" s="46"/>
      <c r="S80" s="46"/>
      <c r="T80" s="46"/>
      <c r="U80" s="46"/>
      <c r="V80" s="46"/>
      <c r="W80" s="46"/>
      <c r="X80" s="46"/>
      <c r="Y80" s="46"/>
      <c r="Z80" s="46"/>
      <c r="AA80" s="46"/>
      <c r="AB80" s="46"/>
    </row>
    <row r="81" spans="1:28" x14ac:dyDescent="0.35">
      <c r="A81" s="244" t="s">
        <v>128</v>
      </c>
      <c r="B81" s="244" t="s">
        <v>122</v>
      </c>
      <c r="C81" s="244">
        <v>1650</v>
      </c>
      <c r="D81" s="244">
        <v>165000</v>
      </c>
      <c r="E81" s="240" t="s">
        <v>546</v>
      </c>
      <c r="F81" s="244">
        <v>2.8</v>
      </c>
      <c r="G81" s="240">
        <v>0.5</v>
      </c>
      <c r="H81" s="240">
        <v>1.3</v>
      </c>
      <c r="I81" s="240" t="s">
        <v>468</v>
      </c>
      <c r="J81" s="240">
        <v>1.3</v>
      </c>
      <c r="K81" s="240" t="s">
        <v>468</v>
      </c>
      <c r="L81" s="240">
        <v>0</v>
      </c>
      <c r="M81" s="240">
        <v>0</v>
      </c>
      <c r="N81" s="240">
        <v>0</v>
      </c>
      <c r="O81" s="241" t="s">
        <v>546</v>
      </c>
      <c r="P81" s="240">
        <f t="shared" si="1"/>
        <v>0.05</v>
      </c>
      <c r="Q81" s="240" t="s">
        <v>546</v>
      </c>
      <c r="R81" s="46"/>
      <c r="S81" s="46"/>
      <c r="T81" s="46"/>
      <c r="U81" s="46"/>
      <c r="V81" s="46"/>
      <c r="W81" s="46"/>
      <c r="X81" s="46"/>
      <c r="Y81" s="46"/>
      <c r="Z81" s="46"/>
      <c r="AA81" s="46"/>
      <c r="AB81" s="46"/>
    </row>
    <row r="82" spans="1:28" x14ac:dyDescent="0.35">
      <c r="A82" s="244" t="s">
        <v>127</v>
      </c>
      <c r="B82" s="244" t="s">
        <v>122</v>
      </c>
      <c r="C82" s="244">
        <v>76168</v>
      </c>
      <c r="D82" s="244">
        <v>7616755</v>
      </c>
      <c r="E82" s="240" t="s">
        <v>546</v>
      </c>
      <c r="F82" s="252">
        <v>0.6</v>
      </c>
      <c r="G82" s="240">
        <v>1</v>
      </c>
      <c r="H82" s="240">
        <v>5.2131248083409999E-2</v>
      </c>
      <c r="I82" s="240" t="s">
        <v>468</v>
      </c>
      <c r="J82" s="240">
        <v>5.2131248083409999E-2</v>
      </c>
      <c r="K82" s="240" t="s">
        <v>468</v>
      </c>
      <c r="L82" s="240">
        <v>0</v>
      </c>
      <c r="M82" s="240">
        <v>0</v>
      </c>
      <c r="N82" s="240">
        <v>0</v>
      </c>
      <c r="O82" s="241" t="s">
        <v>546</v>
      </c>
      <c r="P82" s="240">
        <f t="shared" si="1"/>
        <v>0.05</v>
      </c>
      <c r="Q82" s="240" t="s">
        <v>546</v>
      </c>
      <c r="R82" s="46"/>
      <c r="S82" s="46"/>
      <c r="T82" s="46"/>
      <c r="U82" s="46"/>
      <c r="V82" s="46"/>
      <c r="W82" s="46"/>
      <c r="X82" s="46"/>
      <c r="Y82" s="46"/>
      <c r="Z82" s="46"/>
      <c r="AA82" s="46"/>
      <c r="AB82" s="46"/>
    </row>
    <row r="83" spans="1:28" x14ac:dyDescent="0.35">
      <c r="A83" s="244" t="s">
        <v>126</v>
      </c>
      <c r="B83" s="244" t="s">
        <v>122</v>
      </c>
      <c r="C83" s="244">
        <v>1995</v>
      </c>
      <c r="D83" s="244">
        <v>199526</v>
      </c>
      <c r="E83" s="240" t="s">
        <v>546</v>
      </c>
      <c r="F83" s="252">
        <v>1</v>
      </c>
      <c r="G83" s="240">
        <v>0.5</v>
      </c>
      <c r="H83" s="240">
        <v>0.4</v>
      </c>
      <c r="I83" s="240" t="s">
        <v>468</v>
      </c>
      <c r="J83" s="240">
        <v>0.4</v>
      </c>
      <c r="K83" s="240" t="s">
        <v>468</v>
      </c>
      <c r="L83" s="240">
        <v>0</v>
      </c>
      <c r="M83" s="240">
        <v>0</v>
      </c>
      <c r="N83" s="240">
        <v>0</v>
      </c>
      <c r="O83" s="241" t="s">
        <v>546</v>
      </c>
      <c r="P83" s="240">
        <f t="shared" si="1"/>
        <v>0.05</v>
      </c>
      <c r="Q83" s="240" t="s">
        <v>546</v>
      </c>
      <c r="R83" s="46"/>
      <c r="S83" s="46"/>
      <c r="T83" s="46"/>
      <c r="U83" s="46"/>
      <c r="V83" s="46"/>
      <c r="W83" s="46"/>
      <c r="X83" s="46"/>
      <c r="Y83" s="46"/>
      <c r="Z83" s="46"/>
      <c r="AA83" s="46"/>
      <c r="AB83" s="46"/>
    </row>
    <row r="84" spans="1:28" x14ac:dyDescent="0.35">
      <c r="A84" s="244" t="s">
        <v>125</v>
      </c>
      <c r="B84" s="244" t="s">
        <v>122</v>
      </c>
      <c r="C84" s="244"/>
      <c r="D84" s="244"/>
      <c r="E84" s="240" t="s">
        <v>546</v>
      </c>
      <c r="F84" s="252">
        <v>6.9999999999999994E-5</v>
      </c>
      <c r="G84" s="240">
        <v>7.4999999999999997E-3</v>
      </c>
      <c r="H84" s="240">
        <v>7.4999999999999997E-3</v>
      </c>
      <c r="I84" s="240" t="s">
        <v>467</v>
      </c>
      <c r="J84" s="240" t="s">
        <v>466</v>
      </c>
      <c r="K84" s="240" t="s">
        <v>467</v>
      </c>
      <c r="L84" s="240">
        <v>0</v>
      </c>
      <c r="M84" s="240">
        <v>0</v>
      </c>
      <c r="N84" s="240">
        <v>0</v>
      </c>
      <c r="O84" s="241" t="s">
        <v>546</v>
      </c>
      <c r="P84" s="240">
        <f t="shared" si="1"/>
        <v>0</v>
      </c>
      <c r="Q84" s="240" t="s">
        <v>546</v>
      </c>
      <c r="R84" s="46"/>
      <c r="S84" s="46"/>
      <c r="T84" s="46"/>
      <c r="U84" s="46"/>
      <c r="V84" s="46"/>
      <c r="W84" s="46"/>
      <c r="X84" s="46"/>
      <c r="Y84" s="46"/>
      <c r="Z84" s="46"/>
      <c r="AA84" s="46"/>
      <c r="AB84" s="46"/>
    </row>
    <row r="85" spans="1:28" x14ac:dyDescent="0.35">
      <c r="A85" s="254" t="s">
        <v>124</v>
      </c>
      <c r="B85" s="244" t="s">
        <v>122</v>
      </c>
      <c r="C85" s="254">
        <v>204</v>
      </c>
      <c r="D85" s="254">
        <v>20417</v>
      </c>
      <c r="E85" s="240" t="s">
        <v>546</v>
      </c>
      <c r="F85" s="254"/>
      <c r="G85" s="240">
        <v>0.03</v>
      </c>
      <c r="H85" s="240">
        <v>1</v>
      </c>
      <c r="I85" s="241" t="s">
        <v>469</v>
      </c>
      <c r="J85" s="241" t="s">
        <v>476</v>
      </c>
      <c r="K85" s="241" t="s">
        <v>474</v>
      </c>
      <c r="L85" s="240">
        <v>0</v>
      </c>
      <c r="M85" s="240">
        <v>0</v>
      </c>
      <c r="N85" s="240">
        <v>0</v>
      </c>
      <c r="O85" s="241" t="s">
        <v>546</v>
      </c>
      <c r="P85" s="240">
        <f t="shared" si="1"/>
        <v>0.05</v>
      </c>
      <c r="Q85" s="240" t="s">
        <v>546</v>
      </c>
      <c r="R85" s="46"/>
      <c r="S85" s="46"/>
      <c r="T85" s="46"/>
      <c r="U85" s="46"/>
      <c r="V85" s="46"/>
      <c r="W85" s="46"/>
      <c r="X85" s="46"/>
      <c r="Y85" s="46"/>
      <c r="Z85" s="46"/>
      <c r="AA85" s="46"/>
      <c r="AB85" s="46"/>
    </row>
    <row r="86" spans="1:28" x14ac:dyDescent="0.35">
      <c r="A86" s="254" t="s">
        <v>123</v>
      </c>
      <c r="B86" s="254" t="s">
        <v>122</v>
      </c>
      <c r="C86" s="254">
        <v>45000</v>
      </c>
      <c r="D86" s="254">
        <v>4500000</v>
      </c>
      <c r="E86" s="306" t="s">
        <v>546</v>
      </c>
      <c r="F86" s="254">
        <v>1.0000000000000001E-5</v>
      </c>
      <c r="G86" s="306">
        <v>3.9999999999999998E-6</v>
      </c>
      <c r="H86" s="306">
        <v>1.9000000000000001E-8</v>
      </c>
      <c r="I86" s="307" t="s">
        <v>468</v>
      </c>
      <c r="J86" s="306">
        <v>1.9000000000000001E-9</v>
      </c>
      <c r="K86" s="306" t="s">
        <v>468</v>
      </c>
      <c r="L86" s="306">
        <v>0</v>
      </c>
      <c r="M86" s="306">
        <v>0</v>
      </c>
      <c r="N86" s="306">
        <v>0</v>
      </c>
      <c r="O86" s="307" t="s">
        <v>546</v>
      </c>
      <c r="P86" s="240">
        <f t="shared" si="1"/>
        <v>0.05</v>
      </c>
      <c r="Q86" s="306" t="s">
        <v>546</v>
      </c>
      <c r="R86" s="46"/>
      <c r="S86" s="46"/>
      <c r="T86" s="46"/>
      <c r="U86" s="46"/>
      <c r="V86" s="46"/>
      <c r="W86" s="46"/>
      <c r="X86" s="46"/>
      <c r="Y86" s="46"/>
      <c r="Z86" s="46"/>
      <c r="AA86" s="46"/>
      <c r="AB86" s="46"/>
    </row>
    <row r="87" spans="1:28" x14ac:dyDescent="0.35">
      <c r="A87" s="308" t="s">
        <v>501</v>
      </c>
      <c r="B87" s="48"/>
      <c r="C87" s="48"/>
      <c r="D87" s="48"/>
      <c r="E87" s="309"/>
      <c r="F87" s="48"/>
      <c r="G87" s="309"/>
      <c r="H87" s="309"/>
      <c r="I87" s="309"/>
      <c r="J87" s="309"/>
      <c r="K87" s="309"/>
      <c r="L87" s="309"/>
      <c r="M87" s="309"/>
      <c r="N87" s="309"/>
      <c r="O87" s="309"/>
      <c r="P87" s="240">
        <f t="shared" si="1"/>
        <v>0</v>
      </c>
      <c r="Q87" s="309"/>
      <c r="R87" s="46"/>
      <c r="S87" s="46"/>
      <c r="T87" s="46"/>
      <c r="U87" s="46"/>
      <c r="V87" s="46"/>
      <c r="W87" s="46"/>
      <c r="X87" s="46"/>
      <c r="Y87" s="46"/>
      <c r="Z87" s="46"/>
      <c r="AA87" s="46"/>
      <c r="AB87" s="46"/>
    </row>
    <row r="88" spans="1:28" x14ac:dyDescent="0.35">
      <c r="A88" s="308" t="s">
        <v>502</v>
      </c>
      <c r="B88" s="48"/>
      <c r="C88" s="48"/>
      <c r="D88" s="48"/>
      <c r="E88" s="48"/>
      <c r="F88" s="48"/>
      <c r="G88" s="48"/>
      <c r="H88" s="48"/>
      <c r="I88" s="48"/>
      <c r="J88" s="48"/>
      <c r="K88" s="48"/>
      <c r="L88" s="48"/>
      <c r="M88" s="48"/>
      <c r="N88" s="48"/>
      <c r="O88" s="48"/>
      <c r="P88" s="240">
        <f t="shared" si="1"/>
        <v>0</v>
      </c>
      <c r="Q88" s="48"/>
      <c r="R88" s="46"/>
      <c r="S88" s="46"/>
      <c r="T88" s="46"/>
      <c r="U88" s="46"/>
      <c r="V88" s="46"/>
      <c r="W88" s="46"/>
      <c r="X88" s="46"/>
      <c r="Y88" s="46"/>
      <c r="Z88" s="46"/>
      <c r="AA88" s="46"/>
      <c r="AB88" s="46"/>
    </row>
    <row r="89" spans="1:28" x14ac:dyDescent="0.35">
      <c r="A89" s="308" t="s">
        <v>503</v>
      </c>
      <c r="B89" s="48"/>
      <c r="C89" s="48"/>
      <c r="D89" s="48"/>
      <c r="E89" s="81"/>
      <c r="F89" s="48"/>
      <c r="G89" s="255"/>
      <c r="H89" s="255"/>
      <c r="I89" s="255"/>
      <c r="J89" s="255"/>
      <c r="K89" s="255"/>
      <c r="L89" s="255"/>
      <c r="M89" s="255"/>
      <c r="N89" s="255"/>
      <c r="O89" s="256"/>
      <c r="P89" s="240">
        <f t="shared" si="1"/>
        <v>0</v>
      </c>
      <c r="Q89" s="255"/>
      <c r="R89" s="46"/>
      <c r="S89" s="46"/>
      <c r="T89" s="46"/>
      <c r="U89" s="46"/>
      <c r="V89" s="46"/>
      <c r="W89" s="46"/>
      <c r="X89" s="46"/>
      <c r="Y89" s="46"/>
      <c r="Z89" s="46"/>
      <c r="AA89" s="46"/>
      <c r="AB89" s="46"/>
    </row>
    <row r="90" spans="1:28" x14ac:dyDescent="0.35">
      <c r="A90" s="79" t="s">
        <v>504</v>
      </c>
      <c r="B90" s="48"/>
      <c r="C90" s="47"/>
      <c r="D90" s="47"/>
      <c r="E90" s="81"/>
      <c r="F90" s="47"/>
      <c r="G90" s="255"/>
      <c r="H90" s="255"/>
      <c r="I90" s="255"/>
      <c r="J90" s="255"/>
      <c r="K90" s="255"/>
      <c r="L90" s="255"/>
      <c r="M90" s="255"/>
      <c r="N90" s="255"/>
      <c r="O90" s="256"/>
      <c r="P90" s="240">
        <f t="shared" si="1"/>
        <v>0</v>
      </c>
      <c r="Q90" s="255"/>
      <c r="R90" s="46"/>
      <c r="S90" s="46"/>
      <c r="T90" s="46"/>
      <c r="U90" s="46"/>
      <c r="V90" s="46"/>
      <c r="W90" s="46"/>
      <c r="X90" s="46"/>
      <c r="Y90" s="46"/>
      <c r="Z90" s="46"/>
      <c r="AA90" s="46"/>
      <c r="AB90" s="46"/>
    </row>
    <row r="91" spans="1:28" x14ac:dyDescent="0.35">
      <c r="A91" s="79" t="s">
        <v>505</v>
      </c>
      <c r="B91" s="48"/>
      <c r="C91" s="47"/>
      <c r="D91" s="47"/>
      <c r="E91" s="81"/>
      <c r="F91" s="47"/>
      <c r="G91" s="255"/>
      <c r="H91" s="255"/>
      <c r="I91" s="255"/>
      <c r="J91" s="255"/>
      <c r="K91" s="255"/>
      <c r="L91" s="255"/>
      <c r="M91" s="255"/>
      <c r="N91" s="255"/>
      <c r="O91" s="256"/>
      <c r="P91" s="240">
        <f t="shared" si="1"/>
        <v>0</v>
      </c>
      <c r="Q91" s="255"/>
      <c r="R91" s="46"/>
      <c r="S91" s="46"/>
      <c r="T91" s="46"/>
      <c r="U91" s="46"/>
      <c r="V91" s="46"/>
      <c r="W91" s="46"/>
      <c r="X91" s="46"/>
      <c r="Y91" s="46"/>
      <c r="Z91" s="46"/>
      <c r="AA91" s="46"/>
      <c r="AB91" s="46"/>
    </row>
    <row r="92" spans="1:28" x14ac:dyDescent="0.35">
      <c r="A92" s="79" t="s">
        <v>506</v>
      </c>
      <c r="B92" s="48"/>
      <c r="C92" s="47"/>
      <c r="D92" s="47"/>
      <c r="E92" s="81"/>
      <c r="F92" s="47"/>
      <c r="G92" s="255"/>
      <c r="H92" s="255"/>
      <c r="I92" s="255"/>
      <c r="J92" s="255"/>
      <c r="K92" s="255"/>
      <c r="L92" s="255"/>
      <c r="M92" s="255"/>
      <c r="N92" s="255"/>
      <c r="O92" s="256"/>
      <c r="P92" s="240">
        <f t="shared" si="1"/>
        <v>0</v>
      </c>
      <c r="Q92" s="255"/>
      <c r="R92" s="46"/>
      <c r="S92" s="46"/>
      <c r="T92" s="46"/>
      <c r="U92" s="46"/>
      <c r="V92" s="46"/>
      <c r="W92" s="46"/>
      <c r="X92" s="46"/>
      <c r="Y92" s="46"/>
      <c r="Z92" s="46"/>
      <c r="AA92" s="46"/>
      <c r="AB92" s="46"/>
    </row>
    <row r="93" spans="1:28" x14ac:dyDescent="0.35">
      <c r="A93" s="79" t="s">
        <v>507</v>
      </c>
      <c r="B93" s="48"/>
      <c r="C93" s="47"/>
      <c r="D93" s="47"/>
      <c r="E93" s="81"/>
      <c r="F93" s="47"/>
      <c r="G93" s="255"/>
      <c r="H93" s="255"/>
      <c r="I93" s="255"/>
      <c r="J93" s="255"/>
      <c r="K93" s="255"/>
      <c r="L93" s="255"/>
      <c r="M93" s="255"/>
      <c r="N93" s="255"/>
      <c r="O93" s="256"/>
      <c r="P93" s="240">
        <f t="shared" si="1"/>
        <v>0</v>
      </c>
      <c r="Q93" s="255"/>
      <c r="R93" s="46"/>
      <c r="S93" s="46"/>
      <c r="T93" s="46"/>
      <c r="U93" s="46"/>
      <c r="V93" s="46"/>
      <c r="W93" s="46"/>
      <c r="X93" s="46"/>
      <c r="Y93" s="46"/>
      <c r="Z93" s="46"/>
      <c r="AA93" s="46"/>
      <c r="AB93" s="46"/>
    </row>
    <row r="94" spans="1:28" x14ac:dyDescent="0.35">
      <c r="A94" s="79" t="s">
        <v>508</v>
      </c>
      <c r="B94" s="48"/>
      <c r="C94" s="47"/>
      <c r="D94" s="47"/>
      <c r="E94" s="81"/>
      <c r="F94" s="47"/>
      <c r="G94" s="255"/>
      <c r="H94" s="255"/>
      <c r="I94" s="255"/>
      <c r="J94" s="255"/>
      <c r="K94" s="255"/>
      <c r="L94" s="255"/>
      <c r="M94" s="255"/>
      <c r="N94" s="255"/>
      <c r="O94" s="256"/>
      <c r="P94" s="240">
        <f t="shared" si="1"/>
        <v>0</v>
      </c>
      <c r="Q94" s="255"/>
      <c r="R94" s="46"/>
      <c r="S94" s="46"/>
      <c r="T94" s="46"/>
      <c r="U94" s="46"/>
      <c r="V94" s="46"/>
      <c r="W94" s="46"/>
      <c r="X94" s="46"/>
      <c r="Y94" s="46"/>
      <c r="Z94" s="46"/>
      <c r="AA94" s="46"/>
      <c r="AB94" s="46"/>
    </row>
    <row r="95" spans="1:28" x14ac:dyDescent="0.35">
      <c r="A95" s="79" t="s">
        <v>509</v>
      </c>
      <c r="B95" s="48"/>
      <c r="C95" s="47"/>
      <c r="D95" s="47"/>
      <c r="E95" s="81"/>
      <c r="F95" s="47"/>
      <c r="G95" s="255"/>
      <c r="H95" s="255"/>
      <c r="I95" s="255"/>
      <c r="J95" s="255"/>
      <c r="K95" s="255"/>
      <c r="L95" s="255"/>
      <c r="M95" s="255"/>
      <c r="N95" s="255"/>
      <c r="O95" s="256"/>
      <c r="P95" s="240">
        <f t="shared" si="1"/>
        <v>0</v>
      </c>
      <c r="Q95" s="255"/>
      <c r="R95" s="46"/>
      <c r="S95" s="46"/>
      <c r="T95" s="46"/>
      <c r="U95" s="46"/>
      <c r="V95" s="46"/>
      <c r="W95" s="46"/>
      <c r="X95" s="46"/>
      <c r="Y95" s="46"/>
      <c r="Z95" s="46"/>
      <c r="AA95" s="46"/>
      <c r="AB95" s="46"/>
    </row>
    <row r="96" spans="1:28" x14ac:dyDescent="0.35">
      <c r="A96" s="79" t="s">
        <v>510</v>
      </c>
      <c r="B96" s="48"/>
      <c r="C96" s="47"/>
      <c r="D96" s="47"/>
      <c r="E96" s="81"/>
      <c r="F96" s="47"/>
      <c r="G96" s="255"/>
      <c r="H96" s="255"/>
      <c r="I96" s="255"/>
      <c r="J96" s="255"/>
      <c r="K96" s="255"/>
      <c r="L96" s="255"/>
      <c r="M96" s="255"/>
      <c r="N96" s="255"/>
      <c r="O96" s="256"/>
      <c r="P96" s="240">
        <f t="shared" si="1"/>
        <v>0</v>
      </c>
      <c r="Q96" s="255"/>
      <c r="R96" s="46"/>
      <c r="S96" s="46"/>
      <c r="T96" s="46"/>
      <c r="U96" s="46"/>
      <c r="V96" s="46"/>
      <c r="W96" s="46"/>
      <c r="X96" s="46"/>
      <c r="Y96" s="46"/>
      <c r="Z96" s="46"/>
      <c r="AA96" s="46"/>
      <c r="AB96" s="46"/>
    </row>
    <row r="97" spans="1:28" x14ac:dyDescent="0.35">
      <c r="A97" s="79" t="s">
        <v>511</v>
      </c>
      <c r="B97" s="48"/>
      <c r="C97" s="47"/>
      <c r="D97" s="47"/>
      <c r="E97" s="81"/>
      <c r="F97" s="47"/>
      <c r="G97" s="255"/>
      <c r="H97" s="255"/>
      <c r="I97" s="255"/>
      <c r="J97" s="255"/>
      <c r="K97" s="255"/>
      <c r="L97" s="255"/>
      <c r="M97" s="255"/>
      <c r="N97" s="255"/>
      <c r="O97" s="256"/>
      <c r="P97" s="240">
        <f t="shared" si="1"/>
        <v>0</v>
      </c>
      <c r="Q97" s="255"/>
      <c r="R97" s="46"/>
      <c r="S97" s="46"/>
      <c r="T97" s="46"/>
      <c r="U97" s="46"/>
      <c r="V97" s="46"/>
      <c r="W97" s="46"/>
      <c r="X97" s="46"/>
      <c r="Y97" s="46"/>
      <c r="Z97" s="46"/>
      <c r="AA97" s="46"/>
      <c r="AB97" s="46"/>
    </row>
    <row r="98" spans="1:28" x14ac:dyDescent="0.35">
      <c r="A98" s="79" t="s">
        <v>512</v>
      </c>
      <c r="B98" s="48"/>
      <c r="C98" s="47"/>
      <c r="D98" s="47"/>
      <c r="E98" s="81"/>
      <c r="F98" s="47"/>
      <c r="G98" s="255"/>
      <c r="H98" s="255"/>
      <c r="I98" s="255"/>
      <c r="J98" s="255"/>
      <c r="K98" s="255"/>
      <c r="L98" s="255"/>
      <c r="M98" s="255"/>
      <c r="N98" s="255"/>
      <c r="O98" s="256"/>
      <c r="P98" s="240">
        <f t="shared" si="1"/>
        <v>0</v>
      </c>
      <c r="Q98" s="255"/>
      <c r="R98" s="46"/>
      <c r="S98" s="46"/>
      <c r="T98" s="46"/>
      <c r="U98" s="46"/>
      <c r="V98" s="46"/>
      <c r="W98" s="46"/>
      <c r="X98" s="46"/>
      <c r="Y98" s="46"/>
      <c r="Z98" s="46"/>
      <c r="AA98" s="46"/>
      <c r="AB98" s="46"/>
    </row>
    <row r="99" spans="1:28" x14ac:dyDescent="0.35">
      <c r="A99" s="79" t="s">
        <v>513</v>
      </c>
      <c r="B99" s="48"/>
      <c r="C99" s="47"/>
      <c r="D99" s="47"/>
      <c r="E99" s="81"/>
      <c r="F99" s="47"/>
      <c r="G99" s="255"/>
      <c r="H99" s="255"/>
      <c r="I99" s="255"/>
      <c r="J99" s="255"/>
      <c r="K99" s="255"/>
      <c r="L99" s="255"/>
      <c r="M99" s="255"/>
      <c r="N99" s="255"/>
      <c r="O99" s="256"/>
      <c r="P99" s="240">
        <f t="shared" si="1"/>
        <v>0</v>
      </c>
      <c r="Q99" s="255"/>
      <c r="R99" s="46"/>
      <c r="S99" s="46"/>
      <c r="T99" s="46"/>
      <c r="U99" s="46"/>
      <c r="V99" s="46"/>
      <c r="W99" s="46"/>
      <c r="X99" s="46"/>
      <c r="Y99" s="46"/>
      <c r="Z99" s="46"/>
      <c r="AA99" s="46"/>
      <c r="AB99" s="46"/>
    </row>
    <row r="100" spans="1:28" x14ac:dyDescent="0.35">
      <c r="A100" s="79" t="s">
        <v>514</v>
      </c>
      <c r="B100" s="48"/>
      <c r="C100" s="47"/>
      <c r="D100" s="47"/>
      <c r="E100" s="81"/>
      <c r="F100" s="47"/>
      <c r="G100" s="255"/>
      <c r="H100" s="255"/>
      <c r="I100" s="255"/>
      <c r="J100" s="255"/>
      <c r="K100" s="255"/>
      <c r="L100" s="255"/>
      <c r="M100" s="255"/>
      <c r="N100" s="255"/>
      <c r="O100" s="256"/>
      <c r="P100" s="240">
        <f t="shared" si="1"/>
        <v>0</v>
      </c>
      <c r="Q100" s="255"/>
      <c r="R100" s="46"/>
      <c r="S100" s="46"/>
      <c r="T100" s="46"/>
      <c r="U100" s="46"/>
      <c r="V100" s="46"/>
      <c r="W100" s="46"/>
      <c r="X100" s="46"/>
      <c r="Y100" s="46"/>
      <c r="Z100" s="46"/>
      <c r="AA100" s="46"/>
      <c r="AB100" s="46"/>
    </row>
    <row r="101" spans="1:28" x14ac:dyDescent="0.35">
      <c r="A101" s="79" t="s">
        <v>515</v>
      </c>
      <c r="B101" s="48"/>
      <c r="C101" s="47"/>
      <c r="D101" s="47"/>
      <c r="E101" s="81"/>
      <c r="F101" s="47"/>
      <c r="G101" s="255"/>
      <c r="H101" s="255"/>
      <c r="I101" s="255"/>
      <c r="J101" s="255"/>
      <c r="K101" s="255"/>
      <c r="L101" s="255"/>
      <c r="M101" s="255"/>
      <c r="N101" s="255"/>
      <c r="O101" s="256"/>
      <c r="P101" s="240">
        <f t="shared" si="1"/>
        <v>0</v>
      </c>
      <c r="Q101" s="255"/>
      <c r="R101" s="46"/>
      <c r="S101" s="46"/>
      <c r="T101" s="46"/>
      <c r="U101" s="46"/>
      <c r="V101" s="46"/>
      <c r="W101" s="46"/>
      <c r="X101" s="46"/>
      <c r="Y101" s="46"/>
      <c r="Z101" s="46"/>
      <c r="AA101" s="46"/>
      <c r="AB101" s="46"/>
    </row>
    <row r="102" spans="1:28" x14ac:dyDescent="0.35">
      <c r="A102" s="79" t="s">
        <v>516</v>
      </c>
      <c r="B102" s="48"/>
      <c r="C102" s="47"/>
      <c r="D102" s="47"/>
      <c r="E102" s="81"/>
      <c r="F102" s="47"/>
      <c r="G102" s="255"/>
      <c r="H102" s="255"/>
      <c r="I102" s="255"/>
      <c r="J102" s="255"/>
      <c r="K102" s="255"/>
      <c r="L102" s="255"/>
      <c r="M102" s="255"/>
      <c r="N102" s="255"/>
      <c r="O102" s="256"/>
      <c r="P102" s="240">
        <f t="shared" si="1"/>
        <v>0</v>
      </c>
      <c r="Q102" s="255"/>
      <c r="R102" s="46"/>
      <c r="S102" s="46"/>
      <c r="T102" s="46"/>
      <c r="U102" s="46"/>
      <c r="V102" s="46"/>
      <c r="W102" s="46"/>
      <c r="X102" s="46"/>
      <c r="Y102" s="46"/>
      <c r="Z102" s="46"/>
      <c r="AA102" s="46"/>
      <c r="AB102" s="46"/>
    </row>
    <row r="103" spans="1:28" x14ac:dyDescent="0.35">
      <c r="A103" s="79" t="s">
        <v>517</v>
      </c>
      <c r="B103" s="48"/>
      <c r="C103" s="47"/>
      <c r="D103" s="47"/>
      <c r="E103" s="81"/>
      <c r="F103" s="47"/>
      <c r="G103" s="255"/>
      <c r="H103" s="255"/>
      <c r="I103" s="255"/>
      <c r="J103" s="255"/>
      <c r="K103" s="255"/>
      <c r="L103" s="255"/>
      <c r="M103" s="255"/>
      <c r="N103" s="255"/>
      <c r="O103" s="256"/>
      <c r="P103" s="240">
        <f t="shared" si="1"/>
        <v>0</v>
      </c>
      <c r="Q103" s="255"/>
      <c r="R103" s="46"/>
      <c r="S103" s="46"/>
      <c r="T103" s="46"/>
      <c r="U103" s="46"/>
      <c r="V103" s="46"/>
      <c r="W103" s="46"/>
      <c r="X103" s="46"/>
      <c r="Y103" s="46"/>
      <c r="Z103" s="46"/>
      <c r="AA103" s="46"/>
      <c r="AB103" s="46"/>
    </row>
    <row r="104" spans="1:28" x14ac:dyDescent="0.35">
      <c r="A104" s="79" t="s">
        <v>518</v>
      </c>
      <c r="B104" s="48"/>
      <c r="C104" s="47"/>
      <c r="D104" s="47"/>
      <c r="E104" s="81"/>
      <c r="F104" s="47"/>
      <c r="G104" s="255"/>
      <c r="H104" s="255"/>
      <c r="I104" s="255"/>
      <c r="J104" s="255"/>
      <c r="K104" s="255"/>
      <c r="L104" s="255"/>
      <c r="M104" s="255"/>
      <c r="N104" s="255"/>
      <c r="O104" s="256"/>
      <c r="P104" s="240">
        <f t="shared" si="1"/>
        <v>0</v>
      </c>
      <c r="Q104" s="255"/>
      <c r="R104" s="46"/>
      <c r="S104" s="46"/>
      <c r="T104" s="46"/>
      <c r="U104" s="46"/>
      <c r="V104" s="46"/>
      <c r="W104" s="46"/>
      <c r="X104" s="46"/>
      <c r="Y104" s="46"/>
      <c r="Z104" s="46"/>
      <c r="AA104" s="46"/>
      <c r="AB104" s="46"/>
    </row>
    <row r="105" spans="1:28" x14ac:dyDescent="0.35">
      <c r="A105" s="79" t="s">
        <v>519</v>
      </c>
      <c r="B105" s="48"/>
      <c r="C105" s="47"/>
      <c r="D105" s="47"/>
      <c r="E105" s="81"/>
      <c r="F105" s="47"/>
      <c r="G105" s="255"/>
      <c r="H105" s="255"/>
      <c r="I105" s="255"/>
      <c r="J105" s="255"/>
      <c r="K105" s="255"/>
      <c r="L105" s="255"/>
      <c r="M105" s="255"/>
      <c r="N105" s="255"/>
      <c r="O105" s="256"/>
      <c r="P105" s="240">
        <f t="shared" si="1"/>
        <v>0</v>
      </c>
      <c r="Q105" s="255"/>
      <c r="R105" s="46"/>
      <c r="S105" s="46"/>
      <c r="T105" s="46"/>
      <c r="U105" s="46"/>
      <c r="V105" s="46"/>
      <c r="W105" s="46"/>
      <c r="X105" s="46"/>
      <c r="Y105" s="46"/>
      <c r="Z105" s="46"/>
      <c r="AA105" s="46"/>
      <c r="AB105" s="46"/>
    </row>
    <row r="106" spans="1:28" x14ac:dyDescent="0.35">
      <c r="A106" s="79" t="s">
        <v>520</v>
      </c>
      <c r="B106" s="48"/>
      <c r="C106" s="47"/>
      <c r="D106" s="47"/>
      <c r="E106" s="81"/>
      <c r="F106" s="47"/>
      <c r="G106" s="255"/>
      <c r="H106" s="255"/>
      <c r="I106" s="255"/>
      <c r="J106" s="255"/>
      <c r="K106" s="255"/>
      <c r="L106" s="255"/>
      <c r="M106" s="255"/>
      <c r="N106" s="255"/>
      <c r="O106" s="256"/>
      <c r="P106" s="240">
        <f t="shared" si="1"/>
        <v>0</v>
      </c>
      <c r="Q106" s="255"/>
      <c r="R106" s="46"/>
      <c r="S106" s="46"/>
      <c r="T106" s="46"/>
      <c r="U106" s="46"/>
      <c r="V106" s="46"/>
      <c r="W106" s="46"/>
      <c r="X106" s="46"/>
      <c r="Y106" s="46"/>
      <c r="Z106" s="46"/>
      <c r="AA106" s="46"/>
      <c r="AB106" s="46"/>
    </row>
    <row r="107" spans="1:28" x14ac:dyDescent="0.35">
      <c r="A107" s="79" t="s">
        <v>521</v>
      </c>
      <c r="B107" s="48"/>
      <c r="C107" s="47"/>
      <c r="D107" s="47"/>
      <c r="E107" s="81"/>
      <c r="F107" s="47"/>
      <c r="G107" s="255"/>
      <c r="H107" s="255"/>
      <c r="I107" s="255"/>
      <c r="J107" s="255"/>
      <c r="K107" s="255"/>
      <c r="L107" s="255"/>
      <c r="M107" s="255"/>
      <c r="N107" s="255"/>
      <c r="O107" s="256"/>
      <c r="P107" s="240">
        <f t="shared" si="1"/>
        <v>0</v>
      </c>
      <c r="Q107" s="255"/>
      <c r="R107" s="46"/>
      <c r="S107" s="46"/>
      <c r="T107" s="46"/>
      <c r="U107" s="46"/>
      <c r="V107" s="46"/>
      <c r="W107" s="46"/>
      <c r="X107" s="46"/>
      <c r="Y107" s="46"/>
      <c r="Z107" s="46"/>
      <c r="AA107" s="46"/>
      <c r="AB107" s="46"/>
    </row>
    <row r="108" spans="1:28" x14ac:dyDescent="0.35">
      <c r="A108" s="79" t="s">
        <v>522</v>
      </c>
      <c r="B108" s="48"/>
      <c r="C108" s="47"/>
      <c r="D108" s="47"/>
      <c r="E108" s="81"/>
      <c r="F108" s="47"/>
      <c r="G108" s="255"/>
      <c r="H108" s="255"/>
      <c r="I108" s="255"/>
      <c r="J108" s="255"/>
      <c r="K108" s="255"/>
      <c r="L108" s="255"/>
      <c r="M108" s="255"/>
      <c r="N108" s="255"/>
      <c r="O108" s="256"/>
      <c r="P108" s="240">
        <f t="shared" si="1"/>
        <v>0</v>
      </c>
      <c r="Q108" s="255"/>
      <c r="R108" s="46"/>
      <c r="S108" s="46"/>
      <c r="T108" s="46"/>
      <c r="U108" s="46"/>
      <c r="V108" s="46"/>
      <c r="W108" s="46"/>
      <c r="X108" s="46"/>
      <c r="Y108" s="46"/>
      <c r="Z108" s="46"/>
      <c r="AA108" s="46"/>
      <c r="AB108" s="46"/>
    </row>
    <row r="109" spans="1:28" x14ac:dyDescent="0.35">
      <c r="A109" s="79" t="s">
        <v>523</v>
      </c>
      <c r="B109" s="48"/>
      <c r="C109" s="47"/>
      <c r="D109" s="47"/>
      <c r="E109" s="81"/>
      <c r="F109" s="47"/>
      <c r="G109" s="255"/>
      <c r="H109" s="255"/>
      <c r="I109" s="255"/>
      <c r="J109" s="255"/>
      <c r="K109" s="255"/>
      <c r="L109" s="255"/>
      <c r="M109" s="255"/>
      <c r="N109" s="255"/>
      <c r="O109" s="256"/>
      <c r="P109" s="240">
        <f t="shared" si="1"/>
        <v>0</v>
      </c>
      <c r="Q109" s="255"/>
      <c r="R109" s="46"/>
      <c r="S109" s="46"/>
      <c r="T109" s="46"/>
      <c r="U109" s="46"/>
      <c r="V109" s="46"/>
      <c r="W109" s="46"/>
      <c r="X109" s="46"/>
      <c r="Y109" s="46"/>
      <c r="Z109" s="46"/>
      <c r="AA109" s="46"/>
      <c r="AB109" s="46"/>
    </row>
    <row r="110" spans="1:28" x14ac:dyDescent="0.35">
      <c r="A110" s="79" t="s">
        <v>524</v>
      </c>
      <c r="B110" s="48"/>
      <c r="C110" s="47"/>
      <c r="D110" s="47"/>
      <c r="E110" s="81"/>
      <c r="F110" s="47"/>
      <c r="G110" s="255"/>
      <c r="H110" s="255"/>
      <c r="I110" s="255"/>
      <c r="J110" s="255"/>
      <c r="K110" s="255"/>
      <c r="L110" s="255"/>
      <c r="M110" s="255"/>
      <c r="N110" s="255"/>
      <c r="O110" s="256"/>
      <c r="P110" s="240">
        <f t="shared" si="1"/>
        <v>0</v>
      </c>
      <c r="Q110" s="255"/>
      <c r="R110" s="46"/>
      <c r="S110" s="46"/>
      <c r="T110" s="46"/>
      <c r="U110" s="46"/>
      <c r="V110" s="46"/>
      <c r="W110" s="46"/>
      <c r="X110" s="46"/>
      <c r="Y110" s="46"/>
      <c r="Z110" s="46"/>
      <c r="AA110" s="46"/>
      <c r="AB110" s="46"/>
    </row>
    <row r="111" spans="1:28" x14ac:dyDescent="0.35">
      <c r="A111" s="79" t="s">
        <v>525</v>
      </c>
      <c r="B111" s="48"/>
      <c r="C111" s="47"/>
      <c r="D111" s="47"/>
      <c r="E111" s="81"/>
      <c r="F111" s="47"/>
      <c r="G111" s="255"/>
      <c r="H111" s="255"/>
      <c r="I111" s="255"/>
      <c r="J111" s="255"/>
      <c r="K111" s="255"/>
      <c r="L111" s="255"/>
      <c r="M111" s="255"/>
      <c r="N111" s="255"/>
      <c r="O111" s="256"/>
      <c r="P111" s="240">
        <f t="shared" si="1"/>
        <v>0</v>
      </c>
      <c r="Q111" s="255"/>
      <c r="R111" s="46"/>
      <c r="S111" s="46"/>
      <c r="T111" s="46"/>
      <c r="U111" s="46"/>
      <c r="V111" s="46"/>
      <c r="W111" s="46"/>
      <c r="X111" s="46"/>
      <c r="Y111" s="46"/>
      <c r="Z111" s="46"/>
      <c r="AA111" s="46"/>
      <c r="AB111" s="46"/>
    </row>
    <row r="112" spans="1:28" x14ac:dyDescent="0.35">
      <c r="A112" s="79" t="s">
        <v>526</v>
      </c>
      <c r="B112" s="48"/>
      <c r="C112" s="47"/>
      <c r="D112" s="47"/>
      <c r="E112" s="81"/>
      <c r="F112" s="47"/>
      <c r="G112" s="255"/>
      <c r="H112" s="255"/>
      <c r="I112" s="255"/>
      <c r="J112" s="255"/>
      <c r="K112" s="255"/>
      <c r="L112" s="255"/>
      <c r="M112" s="255"/>
      <c r="N112" s="255"/>
      <c r="O112" s="256"/>
      <c r="P112" s="240">
        <f t="shared" si="1"/>
        <v>0</v>
      </c>
      <c r="Q112" s="255"/>
      <c r="R112" s="46"/>
      <c r="S112" s="46"/>
      <c r="T112" s="46"/>
      <c r="U112" s="46"/>
      <c r="V112" s="46"/>
      <c r="W112" s="46"/>
      <c r="X112" s="46"/>
      <c r="Y112" s="46"/>
      <c r="Z112" s="46"/>
      <c r="AA112" s="46"/>
      <c r="AB112" s="46"/>
    </row>
    <row r="113" spans="1:28" x14ac:dyDescent="0.35">
      <c r="A113" s="79" t="s">
        <v>527</v>
      </c>
      <c r="B113" s="48"/>
      <c r="C113" s="47"/>
      <c r="D113" s="47"/>
      <c r="E113" s="81"/>
      <c r="F113" s="47"/>
      <c r="G113" s="255"/>
      <c r="H113" s="255"/>
      <c r="I113" s="255"/>
      <c r="J113" s="255"/>
      <c r="K113" s="255"/>
      <c r="L113" s="255"/>
      <c r="M113" s="255"/>
      <c r="N113" s="255"/>
      <c r="O113" s="256"/>
      <c r="P113" s="240">
        <f t="shared" si="1"/>
        <v>0</v>
      </c>
      <c r="Q113" s="255"/>
      <c r="R113" s="46"/>
      <c r="S113" s="46"/>
      <c r="T113" s="46"/>
      <c r="U113" s="46"/>
      <c r="V113" s="46"/>
      <c r="W113" s="46"/>
      <c r="X113" s="46"/>
      <c r="Y113" s="46"/>
      <c r="Z113" s="46"/>
      <c r="AA113" s="46"/>
      <c r="AB113" s="46"/>
    </row>
    <row r="114" spans="1:28" x14ac:dyDescent="0.35">
      <c r="A114" s="79" t="s">
        <v>528</v>
      </c>
      <c r="B114" s="48"/>
      <c r="C114" s="47"/>
      <c r="D114" s="47"/>
      <c r="E114" s="81"/>
      <c r="F114" s="47"/>
      <c r="G114" s="255"/>
      <c r="H114" s="255"/>
      <c r="I114" s="255"/>
      <c r="J114" s="255"/>
      <c r="K114" s="255"/>
      <c r="L114" s="255"/>
      <c r="M114" s="255"/>
      <c r="N114" s="255"/>
      <c r="O114" s="256"/>
      <c r="P114" s="240">
        <f t="shared" si="1"/>
        <v>0</v>
      </c>
      <c r="Q114" s="255"/>
      <c r="R114" s="46"/>
      <c r="S114" s="46"/>
      <c r="T114" s="46"/>
      <c r="U114" s="46"/>
      <c r="V114" s="46"/>
      <c r="W114" s="46"/>
      <c r="X114" s="46"/>
      <c r="Y114" s="46"/>
      <c r="Z114" s="46"/>
      <c r="AA114" s="46"/>
      <c r="AB114" s="46"/>
    </row>
    <row r="115" spans="1:28" ht="12.5" x14ac:dyDescent="0.25">
      <c r="R115" s="46"/>
      <c r="S115" s="46"/>
      <c r="T115" s="46"/>
      <c r="U115" s="46"/>
      <c r="V115" s="46"/>
      <c r="W115" s="46"/>
      <c r="X115" s="46"/>
      <c r="Y115" s="46"/>
      <c r="Z115" s="46"/>
      <c r="AA115" s="46"/>
      <c r="AB115" s="46"/>
    </row>
    <row r="116" spans="1:28" ht="12.5" x14ac:dyDescent="0.25">
      <c r="R116" s="46"/>
      <c r="S116" s="46"/>
      <c r="T116" s="46"/>
      <c r="U116" s="46"/>
      <c r="V116" s="46"/>
      <c r="W116" s="46"/>
      <c r="X116" s="46"/>
      <c r="Y116" s="46"/>
      <c r="Z116" s="46"/>
      <c r="AA116" s="46"/>
      <c r="AB116" s="46"/>
    </row>
    <row r="117" spans="1:28" ht="12.5" x14ac:dyDescent="0.25">
      <c r="R117" s="46"/>
      <c r="S117" s="46"/>
      <c r="T117" s="46"/>
      <c r="U117" s="46"/>
      <c r="V117" s="46"/>
      <c r="W117" s="46"/>
      <c r="X117" s="46"/>
      <c r="Y117" s="46"/>
      <c r="Z117" s="46"/>
      <c r="AA117" s="46"/>
      <c r="AB117" s="46"/>
    </row>
    <row r="118" spans="1:28" ht="12.5" x14ac:dyDescent="0.25">
      <c r="R118" s="46"/>
      <c r="S118" s="46"/>
      <c r="T118" s="46"/>
      <c r="U118" s="46"/>
      <c r="V118" s="46"/>
      <c r="W118" s="46"/>
      <c r="X118" s="46"/>
      <c r="Y118" s="46"/>
      <c r="Z118" s="46"/>
      <c r="AA118" s="46"/>
      <c r="AB118" s="46"/>
    </row>
    <row r="119" spans="1:28" ht="12.5" x14ac:dyDescent="0.25">
      <c r="R119" s="46"/>
      <c r="S119" s="46"/>
      <c r="T119" s="46"/>
      <c r="U119" s="46"/>
      <c r="V119" s="46"/>
      <c r="W119" s="46"/>
      <c r="X119" s="46"/>
      <c r="Y119" s="46"/>
      <c r="Z119" s="46"/>
      <c r="AA119" s="46"/>
      <c r="AB119" s="46"/>
    </row>
    <row r="120" spans="1:28" ht="12.5" x14ac:dyDescent="0.25">
      <c r="R120" s="46"/>
      <c r="S120" s="46"/>
      <c r="T120" s="46"/>
      <c r="U120" s="46"/>
      <c r="V120" s="46"/>
      <c r="W120" s="46"/>
      <c r="X120" s="46"/>
      <c r="Y120" s="46"/>
      <c r="Z120" s="46"/>
      <c r="AA120" s="46"/>
      <c r="AB120" s="46"/>
    </row>
    <row r="121" spans="1:28" ht="12.5" x14ac:dyDescent="0.25">
      <c r="R121" s="46"/>
      <c r="S121" s="46"/>
      <c r="T121" s="46"/>
      <c r="U121" s="46"/>
      <c r="V121" s="46"/>
      <c r="W121" s="46"/>
      <c r="X121" s="46"/>
      <c r="Y121" s="46"/>
      <c r="Z121" s="46"/>
      <c r="AA121" s="46"/>
      <c r="AB121" s="46"/>
    </row>
    <row r="122" spans="1:28" ht="12.5" x14ac:dyDescent="0.25">
      <c r="R122" s="46"/>
      <c r="S122" s="46"/>
      <c r="T122" s="46"/>
      <c r="U122" s="46"/>
      <c r="V122" s="46"/>
      <c r="W122" s="46"/>
      <c r="X122" s="46"/>
      <c r="Y122" s="46"/>
      <c r="Z122" s="46"/>
      <c r="AA122" s="46"/>
      <c r="AB122" s="46"/>
    </row>
    <row r="123" spans="1:28" ht="12.5" x14ac:dyDescent="0.25">
      <c r="R123" s="46"/>
      <c r="S123" s="46"/>
      <c r="T123" s="46"/>
      <c r="U123" s="46"/>
      <c r="V123" s="46"/>
      <c r="W123" s="46"/>
      <c r="X123" s="46"/>
      <c r="Y123" s="46"/>
      <c r="Z123" s="46"/>
      <c r="AA123" s="46"/>
      <c r="AB123" s="46"/>
    </row>
    <row r="124" spans="1:28" ht="12.5" x14ac:dyDescent="0.25">
      <c r="R124" s="46"/>
      <c r="S124" s="46"/>
      <c r="T124" s="46"/>
      <c r="U124" s="46"/>
      <c r="V124" s="46"/>
      <c r="W124" s="46"/>
      <c r="X124" s="46"/>
      <c r="Y124" s="46"/>
      <c r="Z124" s="46"/>
      <c r="AA124" s="46"/>
      <c r="AB124" s="46"/>
    </row>
    <row r="125" spans="1:28" ht="12.5" x14ac:dyDescent="0.25">
      <c r="R125" s="46"/>
      <c r="S125" s="46"/>
      <c r="T125" s="46"/>
      <c r="U125" s="46"/>
      <c r="V125" s="46"/>
      <c r="W125" s="46"/>
      <c r="X125" s="46"/>
      <c r="Y125" s="46"/>
      <c r="Z125" s="46"/>
      <c r="AA125" s="46"/>
      <c r="AB125" s="46"/>
    </row>
    <row r="126" spans="1:28" ht="12.5" x14ac:dyDescent="0.25">
      <c r="R126" s="46"/>
      <c r="S126" s="46"/>
      <c r="T126" s="46"/>
      <c r="U126" s="46"/>
      <c r="V126" s="46"/>
      <c r="W126" s="46"/>
      <c r="X126" s="46"/>
      <c r="Y126" s="46"/>
      <c r="Z126" s="46"/>
      <c r="AA126" s="46"/>
      <c r="AB126" s="46"/>
    </row>
    <row r="127" spans="1:28" ht="12.5" x14ac:dyDescent="0.25">
      <c r="R127" s="46"/>
      <c r="S127" s="46"/>
      <c r="T127" s="46"/>
      <c r="U127" s="46"/>
      <c r="V127" s="46"/>
      <c r="W127" s="46"/>
      <c r="X127" s="46"/>
      <c r="Y127" s="46"/>
      <c r="Z127" s="46"/>
      <c r="AA127" s="46"/>
      <c r="AB127" s="46"/>
    </row>
    <row r="128" spans="1:28" ht="12.5" x14ac:dyDescent="0.25">
      <c r="R128" s="46"/>
      <c r="S128" s="46"/>
      <c r="T128" s="46"/>
      <c r="U128" s="46"/>
      <c r="V128" s="46"/>
      <c r="W128" s="46"/>
      <c r="X128" s="46"/>
      <c r="Y128" s="46"/>
      <c r="Z128" s="46"/>
      <c r="AA128" s="46"/>
      <c r="AB128" s="46"/>
    </row>
    <row r="129" spans="18:28" ht="12.5" x14ac:dyDescent="0.25">
      <c r="R129" s="46"/>
      <c r="S129" s="46"/>
      <c r="T129" s="46"/>
      <c r="U129" s="46"/>
      <c r="V129" s="46"/>
      <c r="W129" s="46"/>
      <c r="X129" s="46"/>
      <c r="Y129" s="46"/>
      <c r="Z129" s="46"/>
      <c r="AA129" s="46"/>
      <c r="AB129" s="46"/>
    </row>
    <row r="130" spans="18:28" ht="12.5" x14ac:dyDescent="0.25">
      <c r="R130" s="46"/>
      <c r="S130" s="46"/>
      <c r="T130" s="46"/>
      <c r="U130" s="46"/>
      <c r="V130" s="46"/>
      <c r="W130" s="46"/>
      <c r="X130" s="46"/>
      <c r="Y130" s="46"/>
      <c r="Z130" s="46"/>
      <c r="AA130" s="46"/>
      <c r="AB130" s="46"/>
    </row>
    <row r="131" spans="18:28" ht="12.5" x14ac:dyDescent="0.25">
      <c r="R131" s="46"/>
      <c r="S131" s="46"/>
      <c r="T131" s="46"/>
      <c r="U131" s="46"/>
      <c r="V131" s="46"/>
      <c r="W131" s="46"/>
      <c r="X131" s="46"/>
      <c r="Y131" s="46"/>
      <c r="Z131" s="46"/>
      <c r="AA131" s="46"/>
      <c r="AB131" s="46"/>
    </row>
    <row r="132" spans="18:28" ht="12.5" x14ac:dyDescent="0.25">
      <c r="R132" s="46"/>
      <c r="S132" s="46"/>
      <c r="T132" s="46"/>
      <c r="U132" s="46"/>
      <c r="V132" s="46"/>
      <c r="W132" s="46"/>
      <c r="X132" s="46"/>
      <c r="Y132" s="46"/>
      <c r="Z132" s="46"/>
      <c r="AA132" s="46"/>
      <c r="AB132" s="46"/>
    </row>
    <row r="133" spans="18:28" ht="12.5" x14ac:dyDescent="0.25">
      <c r="R133" s="46"/>
      <c r="S133" s="46"/>
      <c r="T133" s="46"/>
      <c r="U133" s="46"/>
      <c r="V133" s="46"/>
      <c r="W133" s="46"/>
      <c r="X133" s="46"/>
      <c r="Y133" s="46"/>
      <c r="Z133" s="46"/>
      <c r="AA133" s="46"/>
      <c r="AB133" s="46"/>
    </row>
    <row r="134" spans="18:28" ht="12.5" x14ac:dyDescent="0.25">
      <c r="R134" s="46"/>
      <c r="S134" s="46"/>
      <c r="T134" s="46"/>
      <c r="U134" s="46"/>
      <c r="V134" s="46"/>
      <c r="W134" s="46"/>
      <c r="X134" s="46"/>
      <c r="Y134" s="46"/>
      <c r="Z134" s="46"/>
      <c r="AA134" s="46"/>
      <c r="AB134" s="46"/>
    </row>
    <row r="135" spans="18:28" ht="12.5" x14ac:dyDescent="0.25">
      <c r="R135" s="46"/>
      <c r="S135" s="46"/>
      <c r="T135" s="46"/>
      <c r="U135" s="46"/>
      <c r="V135" s="46"/>
      <c r="W135" s="46"/>
      <c r="X135" s="46"/>
      <c r="Y135" s="46"/>
      <c r="Z135" s="46"/>
      <c r="AA135" s="46"/>
      <c r="AB135" s="46"/>
    </row>
    <row r="136" spans="18:28" ht="12.5" x14ac:dyDescent="0.25">
      <c r="R136" s="46"/>
      <c r="S136" s="46"/>
      <c r="T136" s="46"/>
      <c r="U136" s="46"/>
      <c r="V136" s="46"/>
      <c r="W136" s="46"/>
      <c r="X136" s="46"/>
      <c r="Y136" s="46"/>
      <c r="Z136" s="46"/>
      <c r="AA136" s="46"/>
      <c r="AB136" s="46"/>
    </row>
    <row r="137" spans="18:28" ht="12.5" x14ac:dyDescent="0.25">
      <c r="R137" s="46"/>
      <c r="S137" s="46"/>
      <c r="T137" s="46"/>
      <c r="U137" s="46"/>
      <c r="V137" s="46"/>
      <c r="W137" s="46"/>
      <c r="X137" s="46"/>
      <c r="Y137" s="46"/>
      <c r="Z137" s="46"/>
      <c r="AA137" s="46"/>
      <c r="AB137" s="46"/>
    </row>
    <row r="138" spans="18:28" ht="12.5" x14ac:dyDescent="0.25">
      <c r="R138" s="46"/>
      <c r="S138" s="46"/>
      <c r="T138" s="46"/>
      <c r="U138" s="46"/>
      <c r="V138" s="46"/>
      <c r="W138" s="46"/>
      <c r="X138" s="46"/>
      <c r="Y138" s="46"/>
      <c r="Z138" s="46"/>
      <c r="AA138" s="46"/>
      <c r="AB138" s="46"/>
    </row>
    <row r="139" spans="18:28" ht="12.5" x14ac:dyDescent="0.25">
      <c r="R139" s="46"/>
      <c r="S139" s="46"/>
      <c r="T139" s="46"/>
      <c r="U139" s="46"/>
      <c r="V139" s="46"/>
      <c r="W139" s="46"/>
      <c r="X139" s="46"/>
      <c r="Y139" s="46"/>
      <c r="Z139" s="46"/>
      <c r="AA139" s="46"/>
      <c r="AB139" s="46"/>
    </row>
    <row r="140" spans="18:28" ht="12.5" x14ac:dyDescent="0.25">
      <c r="R140" s="46"/>
      <c r="S140" s="46"/>
      <c r="T140" s="46"/>
      <c r="U140" s="46"/>
      <c r="V140" s="46"/>
      <c r="W140" s="46"/>
      <c r="X140" s="46"/>
      <c r="Y140" s="46"/>
      <c r="Z140" s="46"/>
      <c r="AA140" s="46"/>
      <c r="AB140" s="46"/>
    </row>
    <row r="141" spans="18:28" ht="12.5" x14ac:dyDescent="0.25">
      <c r="R141" s="46"/>
      <c r="S141" s="46"/>
      <c r="T141" s="46"/>
      <c r="U141" s="46"/>
      <c r="V141" s="46"/>
      <c r="W141" s="46"/>
      <c r="X141" s="46"/>
      <c r="Y141" s="46"/>
      <c r="Z141" s="46"/>
      <c r="AA141" s="46"/>
      <c r="AB141" s="46"/>
    </row>
  </sheetData>
  <sheetProtection sheet="1" objects="1" scenarios="1" selectLockedCells="1"/>
  <conditionalFormatting sqref="A35:A37 A30 A22:A23 C35:D37 C30:D30 C22:D23 A68:A114 C68:D114 F86:F114">
    <cfRule type="cellIs" dxfId="9" priority="19" stopIfTrue="1" operator="equal">
      <formula>""</formula>
    </cfRule>
  </conditionalFormatting>
  <conditionalFormatting sqref="F22:F23 F30 F35:F37 F68:F85">
    <cfRule type="cellIs" dxfId="8" priority="18" stopIfTrue="1" operator="equal">
      <formula>""</formula>
    </cfRule>
  </conditionalFormatting>
  <conditionalFormatting sqref="Q4:Q86 E4:E86">
    <cfRule type="cellIs" dxfId="7" priority="8" operator="notEqual">
      <formula>"sjablong"</formula>
    </cfRule>
  </conditionalFormatting>
  <conditionalFormatting sqref="O4:O86 O89:O114">
    <cfRule type="expression" dxfId="6" priority="2693" stopIfTrue="1">
      <formula>IF(OR(L4&gt;0,M4&gt;0,N4&gt;0),1,0)</formula>
    </cfRule>
  </conditionalFormatting>
  <conditionalFormatting sqref="H22:H24">
    <cfRule type="cellIs" dxfId="5" priority="1" stopIfTrue="1" operator="equal">
      <formula>""</formula>
    </cfRule>
  </conditionalFormatting>
  <conditionalFormatting sqref="H69">
    <cfRule type="cellIs" dxfId="4" priority="6" stopIfTrue="1" operator="equal">
      <formula>""</formula>
    </cfRule>
  </conditionalFormatting>
  <conditionalFormatting sqref="H70">
    <cfRule type="cellIs" dxfId="3" priority="5" stopIfTrue="1" operator="equal">
      <formula>""</formula>
    </cfRule>
  </conditionalFormatting>
  <conditionalFormatting sqref="H76">
    <cfRule type="cellIs" dxfId="2" priority="4" stopIfTrue="1" operator="equal">
      <formula>""</formula>
    </cfRule>
  </conditionalFormatting>
  <conditionalFormatting sqref="H78">
    <cfRule type="cellIs" dxfId="1" priority="3" stopIfTrue="1" operator="equal">
      <formula>""</formula>
    </cfRule>
  </conditionalFormatting>
  <conditionalFormatting sqref="H39">
    <cfRule type="cellIs" dxfId="0" priority="2" stopIfTrue="1" operator="equal">
      <formula>""</formula>
    </cfRule>
  </conditionalFormatting>
  <pageMargins left="0.78740157480314965" right="0.78740157480314965" top="0.98425196850393704" bottom="0.98425196850393704" header="0.51181102362204722" footer="0.51181102362204722"/>
  <pageSetup paperSize="9" scale="97" fitToWidth="2" fitToHeight="0" pageOrder="overThenDown" orientation="landscape" horizontalDpi="300" verticalDpi="300"/>
  <headerFooter alignWithMargins="0">
    <oddHeader>&amp;CBeregningsverktøy SFT veiledning 99:01 vers.1.0 - Fil: &amp;F - Ark:&amp;A</oddHeader>
    <oddFooter>&amp;L&amp;D&amp;RSide &amp;P av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34"/>
  <sheetViews>
    <sheetView workbookViewId="0">
      <selection activeCell="C4" sqref="C4"/>
    </sheetView>
  </sheetViews>
  <sheetFormatPr baseColWidth="10" defaultColWidth="11.453125" defaultRowHeight="14.5" x14ac:dyDescent="0.35"/>
  <cols>
    <col min="1" max="1" width="19.54296875" customWidth="1"/>
    <col min="2" max="2" width="11.7265625" customWidth="1"/>
    <col min="3" max="3" width="88.54296875" customWidth="1"/>
    <col min="4" max="4" width="51.26953125" customWidth="1"/>
  </cols>
  <sheetData>
    <row r="1" spans="1:4" s="132" customFormat="1" ht="21.75" customHeight="1" x14ac:dyDescent="0.3">
      <c r="A1" s="335" t="s">
        <v>696</v>
      </c>
      <c r="B1" s="336" t="s">
        <v>627</v>
      </c>
      <c r="C1" s="337" t="s">
        <v>697</v>
      </c>
      <c r="D1" s="338" t="s">
        <v>698</v>
      </c>
    </row>
    <row r="2" spans="1:4" s="132" customFormat="1" ht="12.5" x14ac:dyDescent="0.25">
      <c r="A2" s="154">
        <v>0</v>
      </c>
      <c r="B2" s="133">
        <v>43290</v>
      </c>
      <c r="C2" s="134" t="s">
        <v>749</v>
      </c>
      <c r="D2" s="155"/>
    </row>
    <row r="3" spans="1:4" s="132" customFormat="1" ht="36.75" customHeight="1" x14ac:dyDescent="0.25">
      <c r="A3" s="154">
        <v>1</v>
      </c>
      <c r="B3" s="133">
        <v>43803</v>
      </c>
      <c r="C3" s="134" t="s">
        <v>752</v>
      </c>
      <c r="D3" s="156" t="s">
        <v>754</v>
      </c>
    </row>
    <row r="4" spans="1:4" ht="48" customHeight="1" x14ac:dyDescent="0.35">
      <c r="A4" s="157">
        <v>1</v>
      </c>
      <c r="B4" s="152">
        <v>43803</v>
      </c>
      <c r="C4" s="153" t="s">
        <v>753</v>
      </c>
      <c r="D4" s="156" t="s">
        <v>755</v>
      </c>
    </row>
    <row r="5" spans="1:4" s="16" customFormat="1" ht="30.75" customHeight="1" thickBot="1" x14ac:dyDescent="0.4">
      <c r="A5" s="158">
        <v>2</v>
      </c>
      <c r="B5" s="159">
        <v>43921</v>
      </c>
      <c r="C5" s="164" t="s">
        <v>762</v>
      </c>
      <c r="D5" s="160"/>
    </row>
    <row r="6" spans="1:4" s="132" customFormat="1" ht="12.5" x14ac:dyDescent="0.25"/>
    <row r="7" spans="1:4" s="132" customFormat="1" ht="12.5" x14ac:dyDescent="0.25"/>
    <row r="8" spans="1:4" s="132" customFormat="1" ht="12.5" x14ac:dyDescent="0.25"/>
    <row r="9" spans="1:4" s="132" customFormat="1" ht="12.5" x14ac:dyDescent="0.25"/>
    <row r="10" spans="1:4" s="132" customFormat="1" ht="12.5" x14ac:dyDescent="0.25"/>
    <row r="11" spans="1:4" s="132" customFormat="1" ht="12.5" x14ac:dyDescent="0.25"/>
    <row r="12" spans="1:4" s="132" customFormat="1" ht="12.5" x14ac:dyDescent="0.25"/>
    <row r="13" spans="1:4" s="132" customFormat="1" ht="12.5" x14ac:dyDescent="0.25"/>
    <row r="14" spans="1:4" s="132" customFormat="1" ht="12.5" x14ac:dyDescent="0.25"/>
    <row r="15" spans="1:4" s="132" customFormat="1" ht="12.5" x14ac:dyDescent="0.25"/>
    <row r="16" spans="1:4" s="132" customFormat="1" ht="12.5" x14ac:dyDescent="0.25"/>
    <row r="17" s="132" customFormat="1" ht="12.5" x14ac:dyDescent="0.25"/>
    <row r="18" s="132" customFormat="1" ht="12.5" x14ac:dyDescent="0.25"/>
    <row r="19" s="132" customFormat="1" ht="12.5" x14ac:dyDescent="0.25"/>
    <row r="20" s="132" customFormat="1" ht="12.5" x14ac:dyDescent="0.25"/>
    <row r="21" s="132" customFormat="1" ht="12.5" x14ac:dyDescent="0.25"/>
    <row r="22" s="132" customFormat="1" ht="12.5" x14ac:dyDescent="0.25"/>
    <row r="23" s="132" customFormat="1" ht="12.5" x14ac:dyDescent="0.25"/>
    <row r="24" s="132" customFormat="1" ht="12.5" x14ac:dyDescent="0.25"/>
    <row r="25" s="132" customFormat="1" ht="12.5" x14ac:dyDescent="0.25"/>
    <row r="26" s="132" customFormat="1" ht="12.5" x14ac:dyDescent="0.25"/>
    <row r="27" s="132" customFormat="1" ht="12.5" x14ac:dyDescent="0.25"/>
    <row r="28" s="132" customFormat="1" ht="12.5" x14ac:dyDescent="0.25"/>
    <row r="29" s="132" customFormat="1" ht="12.5" x14ac:dyDescent="0.25"/>
    <row r="30" s="132" customFormat="1" ht="12.5" x14ac:dyDescent="0.25"/>
    <row r="31" s="132" customFormat="1" ht="12.5" x14ac:dyDescent="0.25"/>
    <row r="32" s="132" customFormat="1" ht="12.5" x14ac:dyDescent="0.25"/>
    <row r="33" s="132" customFormat="1" ht="12.5" x14ac:dyDescent="0.25"/>
    <row r="34" s="132" customFormat="1" ht="12.5" x14ac:dyDescent="0.25"/>
  </sheetData>
  <sheetProtection sheet="1" objects="1" scenarios="1" selectLockedCells="1"/>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F47"/>
  <sheetViews>
    <sheetView workbookViewId="0">
      <selection activeCell="D16" sqref="D16"/>
    </sheetView>
  </sheetViews>
  <sheetFormatPr baseColWidth="10" defaultColWidth="9.1796875" defaultRowHeight="14.5" x14ac:dyDescent="0.35"/>
  <cols>
    <col min="1" max="1" width="11.26953125" customWidth="1"/>
    <col min="2" max="2" width="100.453125" customWidth="1"/>
    <col min="3" max="3" width="7.1796875" customWidth="1"/>
    <col min="4" max="4" width="7.54296875" customWidth="1"/>
    <col min="5" max="5" width="27.81640625" customWidth="1"/>
    <col min="6" max="6" width="36.453125" customWidth="1"/>
  </cols>
  <sheetData>
    <row r="1" spans="1:6" s="95" customFormat="1" ht="21" x14ac:dyDescent="0.5">
      <c r="A1" s="95" t="s">
        <v>629</v>
      </c>
    </row>
    <row r="2" spans="1:6" s="95" customFormat="1" ht="21" x14ac:dyDescent="0.5">
      <c r="A2" s="108" t="s">
        <v>756</v>
      </c>
    </row>
    <row r="3" spans="1:6" x14ac:dyDescent="0.35">
      <c r="A3" s="38" t="s">
        <v>630</v>
      </c>
      <c r="B3" s="96">
        <v>0</v>
      </c>
    </row>
    <row r="4" spans="1:6" x14ac:dyDescent="0.35">
      <c r="A4" s="38" t="s">
        <v>627</v>
      </c>
      <c r="B4" s="97">
        <v>43921</v>
      </c>
    </row>
    <row r="5" spans="1:6" x14ac:dyDescent="0.35">
      <c r="A5" s="38"/>
      <c r="B5" s="97"/>
    </row>
    <row r="6" spans="1:6" x14ac:dyDescent="0.35">
      <c r="A6" s="38" t="s">
        <v>628</v>
      </c>
      <c r="B6" s="104" t="s">
        <v>669</v>
      </c>
    </row>
    <row r="7" spans="1:6" x14ac:dyDescent="0.35">
      <c r="A7" s="38" t="s">
        <v>627</v>
      </c>
      <c r="B7" s="97">
        <v>43921</v>
      </c>
    </row>
    <row r="8" spans="1:6" ht="15" thickBot="1" x14ac:dyDescent="0.4">
      <c r="A8" s="38"/>
      <c r="B8" s="97"/>
    </row>
    <row r="9" spans="1:6" ht="15" customHeight="1" x14ac:dyDescent="0.35">
      <c r="A9" s="38" t="s">
        <v>674</v>
      </c>
      <c r="B9" s="354" t="s">
        <v>713</v>
      </c>
      <c r="C9" s="355"/>
      <c r="D9" s="355"/>
      <c r="E9" s="355"/>
      <c r="F9" s="356"/>
    </row>
    <row r="10" spans="1:6" x14ac:dyDescent="0.35">
      <c r="A10" s="38"/>
      <c r="B10" s="357"/>
      <c r="C10" s="358"/>
      <c r="D10" s="358"/>
      <c r="E10" s="358"/>
      <c r="F10" s="359"/>
    </row>
    <row r="11" spans="1:6" x14ac:dyDescent="0.35">
      <c r="B11" s="360"/>
      <c r="C11" s="361"/>
      <c r="D11" s="361"/>
      <c r="E11" s="361"/>
      <c r="F11" s="362"/>
    </row>
    <row r="12" spans="1:6" ht="15" thickBot="1" x14ac:dyDescent="0.4"/>
    <row r="13" spans="1:6" ht="15" thickBot="1" x14ac:dyDescent="0.4">
      <c r="A13" s="220"/>
      <c r="B13" s="221" t="s">
        <v>599</v>
      </c>
      <c r="C13" s="91" t="s">
        <v>600</v>
      </c>
      <c r="D13" s="92" t="s">
        <v>601</v>
      </c>
      <c r="E13" s="222" t="s">
        <v>602</v>
      </c>
      <c r="F13" s="222" t="s">
        <v>603</v>
      </c>
    </row>
    <row r="14" spans="1:6" ht="30" thickTop="1" thickBot="1" x14ac:dyDescent="0.4">
      <c r="B14" s="218" t="s">
        <v>604</v>
      </c>
      <c r="C14" s="201"/>
      <c r="D14" s="202"/>
      <c r="E14" s="203"/>
      <c r="F14" s="203"/>
    </row>
    <row r="15" spans="1:6" ht="15" thickBot="1" x14ac:dyDescent="0.4">
      <c r="B15" s="218" t="s">
        <v>605</v>
      </c>
      <c r="C15" s="201"/>
      <c r="D15" s="202"/>
      <c r="E15" s="203"/>
      <c r="F15" s="203"/>
    </row>
    <row r="16" spans="1:6" ht="15" thickBot="1" x14ac:dyDescent="0.4">
      <c r="B16" s="218" t="s">
        <v>606</v>
      </c>
      <c r="C16" s="201"/>
      <c r="D16" s="202"/>
      <c r="E16" s="203"/>
      <c r="F16" s="203"/>
    </row>
    <row r="17" spans="2:6" ht="15" thickBot="1" x14ac:dyDescent="0.4">
      <c r="B17" s="218" t="s">
        <v>607</v>
      </c>
      <c r="C17" s="201"/>
      <c r="D17" s="202"/>
      <c r="E17" s="203"/>
      <c r="F17" s="203"/>
    </row>
    <row r="18" spans="2:6" ht="15" thickBot="1" x14ac:dyDescent="0.4">
      <c r="B18" s="218" t="s">
        <v>608</v>
      </c>
      <c r="C18" s="201"/>
      <c r="D18" s="202"/>
      <c r="E18" s="203"/>
      <c r="F18" s="203"/>
    </row>
    <row r="19" spans="2:6" ht="15" thickBot="1" x14ac:dyDescent="0.4">
      <c r="B19" s="218" t="s">
        <v>609</v>
      </c>
      <c r="C19" s="201"/>
      <c r="D19" s="202"/>
      <c r="E19" s="203"/>
      <c r="F19" s="203"/>
    </row>
    <row r="20" spans="2:6" ht="15" thickBot="1" x14ac:dyDescent="0.4">
      <c r="B20" s="218" t="s">
        <v>610</v>
      </c>
      <c r="C20" s="201"/>
      <c r="D20" s="202"/>
      <c r="E20" s="203"/>
      <c r="F20" s="203"/>
    </row>
    <row r="21" spans="2:6" ht="18" customHeight="1" thickBot="1" x14ac:dyDescent="0.4">
      <c r="B21" s="218" t="s">
        <v>649</v>
      </c>
      <c r="C21" s="201"/>
      <c r="D21" s="202"/>
      <c r="E21" s="203"/>
      <c r="F21" s="203"/>
    </row>
    <row r="22" spans="2:6" ht="15" thickBot="1" x14ac:dyDescent="0.4">
      <c r="B22" s="218" t="s">
        <v>611</v>
      </c>
      <c r="C22" s="201"/>
      <c r="D22" s="202"/>
      <c r="E22" s="203"/>
      <c r="F22" s="203"/>
    </row>
    <row r="23" spans="2:6" ht="15" thickBot="1" x14ac:dyDescent="0.4">
      <c r="B23" s="219" t="s">
        <v>612</v>
      </c>
      <c r="C23" s="204"/>
      <c r="D23" s="205"/>
      <c r="E23" s="206"/>
      <c r="F23" s="206"/>
    </row>
    <row r="24" spans="2:6" ht="15.5" thickTop="1" thickBot="1" x14ac:dyDescent="0.4">
      <c r="B24" s="221" t="s">
        <v>613</v>
      </c>
      <c r="C24" s="93" t="s">
        <v>600</v>
      </c>
      <c r="D24" s="94" t="s">
        <v>601</v>
      </c>
      <c r="E24" s="222" t="s">
        <v>602</v>
      </c>
      <c r="F24" s="222" t="s">
        <v>603</v>
      </c>
    </row>
    <row r="25" spans="2:6" ht="15.5" thickTop="1" thickBot="1" x14ac:dyDescent="0.4">
      <c r="B25" s="218" t="s">
        <v>614</v>
      </c>
      <c r="C25" s="201"/>
      <c r="D25" s="202"/>
      <c r="E25" s="203"/>
      <c r="F25" s="203"/>
    </row>
    <row r="26" spans="2:6" ht="15" thickBot="1" x14ac:dyDescent="0.4">
      <c r="B26" s="218" t="s">
        <v>615</v>
      </c>
      <c r="C26" s="201"/>
      <c r="D26" s="202"/>
      <c r="E26" s="203"/>
      <c r="F26" s="203"/>
    </row>
    <row r="27" spans="2:6" ht="15" thickBot="1" x14ac:dyDescent="0.4">
      <c r="B27" s="218" t="s">
        <v>616</v>
      </c>
      <c r="C27" s="201"/>
      <c r="D27" s="202"/>
      <c r="E27" s="203"/>
      <c r="F27" s="203"/>
    </row>
    <row r="28" spans="2:6" ht="15" thickBot="1" x14ac:dyDescent="0.4">
      <c r="B28" s="219" t="s">
        <v>617</v>
      </c>
      <c r="C28" s="204"/>
      <c r="D28" s="205"/>
      <c r="E28" s="206"/>
      <c r="F28" s="206"/>
    </row>
    <row r="29" spans="2:6" ht="15.5" thickTop="1" thickBot="1" x14ac:dyDescent="0.4">
      <c r="B29" s="221" t="s">
        <v>618</v>
      </c>
      <c r="C29" s="93" t="s">
        <v>600</v>
      </c>
      <c r="D29" s="94" t="s">
        <v>601</v>
      </c>
      <c r="E29" s="222" t="s">
        <v>602</v>
      </c>
      <c r="F29" s="222" t="s">
        <v>603</v>
      </c>
    </row>
    <row r="30" spans="2:6" ht="15.5" thickTop="1" thickBot="1" x14ac:dyDescent="0.4">
      <c r="B30" s="218" t="s">
        <v>644</v>
      </c>
      <c r="C30" s="201"/>
      <c r="D30" s="202"/>
      <c r="E30" s="203"/>
      <c r="F30" s="203"/>
    </row>
    <row r="31" spans="2:6" ht="15" thickBot="1" x14ac:dyDescent="0.4">
      <c r="B31" s="218" t="s">
        <v>619</v>
      </c>
      <c r="C31" s="201"/>
      <c r="D31" s="202"/>
      <c r="E31" s="203"/>
      <c r="F31" s="203"/>
    </row>
    <row r="32" spans="2:6" ht="15" thickBot="1" x14ac:dyDescent="0.4">
      <c r="B32" s="218" t="s">
        <v>620</v>
      </c>
      <c r="C32" s="201"/>
      <c r="D32" s="202"/>
      <c r="E32" s="203"/>
      <c r="F32" s="203"/>
    </row>
    <row r="33" spans="2:6" ht="15" thickBot="1" x14ac:dyDescent="0.4">
      <c r="B33" s="218" t="s">
        <v>621</v>
      </c>
      <c r="C33" s="201"/>
      <c r="D33" s="202"/>
      <c r="E33" s="203"/>
      <c r="F33" s="203"/>
    </row>
    <row r="34" spans="2:6" ht="15" thickBot="1" x14ac:dyDescent="0.4">
      <c r="B34" s="218" t="s">
        <v>645</v>
      </c>
      <c r="C34" s="201"/>
      <c r="D34" s="202"/>
      <c r="E34" s="203"/>
      <c r="F34" s="203"/>
    </row>
    <row r="35" spans="2:6" ht="15" thickBot="1" x14ac:dyDescent="0.4">
      <c r="B35" s="219" t="s">
        <v>646</v>
      </c>
      <c r="C35" s="204"/>
      <c r="D35" s="205"/>
      <c r="E35" s="206"/>
      <c r="F35" s="206"/>
    </row>
    <row r="36" spans="2:6" ht="15.5" thickTop="1" thickBot="1" x14ac:dyDescent="0.4">
      <c r="B36" s="221" t="s">
        <v>622</v>
      </c>
      <c r="C36" s="93" t="s">
        <v>600</v>
      </c>
      <c r="D36" s="94" t="s">
        <v>601</v>
      </c>
      <c r="E36" s="222" t="s">
        <v>602</v>
      </c>
      <c r="F36" s="222" t="s">
        <v>603</v>
      </c>
    </row>
    <row r="37" spans="2:6" ht="15.5" thickTop="1" thickBot="1" x14ac:dyDescent="0.4">
      <c r="B37" s="218" t="s">
        <v>647</v>
      </c>
      <c r="C37" s="201"/>
      <c r="D37" s="202"/>
      <c r="E37" s="203"/>
      <c r="F37" s="203"/>
    </row>
    <row r="38" spans="2:6" ht="15" thickBot="1" x14ac:dyDescent="0.4">
      <c r="B38" s="218" t="s">
        <v>648</v>
      </c>
      <c r="C38" s="201"/>
      <c r="D38" s="202"/>
      <c r="E38" s="203"/>
      <c r="F38" s="203"/>
    </row>
    <row r="39" spans="2:6" ht="15" thickBot="1" x14ac:dyDescent="0.4">
      <c r="B39" s="218" t="s">
        <v>623</v>
      </c>
      <c r="C39" s="201"/>
      <c r="D39" s="202"/>
      <c r="E39" s="203"/>
      <c r="F39" s="203"/>
    </row>
    <row r="40" spans="2:6" ht="15" thickBot="1" x14ac:dyDescent="0.4">
      <c r="B40" s="218" t="s">
        <v>624</v>
      </c>
      <c r="C40" s="201"/>
      <c r="D40" s="202"/>
      <c r="E40" s="203"/>
      <c r="F40" s="203"/>
    </row>
    <row r="41" spans="2:6" ht="15" thickBot="1" x14ac:dyDescent="0.4">
      <c r="B41" s="218" t="s">
        <v>625</v>
      </c>
      <c r="C41" s="201"/>
      <c r="D41" s="202"/>
      <c r="E41" s="203"/>
      <c r="F41" s="203"/>
    </row>
    <row r="42" spans="2:6" ht="15" thickBot="1" x14ac:dyDescent="0.4">
      <c r="B42" s="219" t="s">
        <v>650</v>
      </c>
      <c r="C42" s="204"/>
      <c r="D42" s="205"/>
      <c r="E42" s="206"/>
      <c r="F42" s="206"/>
    </row>
    <row r="43" spans="2:6" ht="15.5" thickTop="1" thickBot="1" x14ac:dyDescent="0.4">
      <c r="B43" s="221" t="s">
        <v>626</v>
      </c>
      <c r="C43" s="93" t="s">
        <v>600</v>
      </c>
      <c r="D43" s="94" t="s">
        <v>601</v>
      </c>
      <c r="E43" s="222" t="s">
        <v>602</v>
      </c>
      <c r="F43" s="222" t="s">
        <v>603</v>
      </c>
    </row>
    <row r="44" spans="2:6" ht="15.5" thickTop="1" thickBot="1" x14ac:dyDescent="0.4">
      <c r="B44" s="218" t="s">
        <v>712</v>
      </c>
      <c r="C44" s="201"/>
      <c r="D44" s="202"/>
      <c r="E44" s="203"/>
      <c r="F44" s="203"/>
    </row>
    <row r="45" spans="2:6" ht="15" thickBot="1" x14ac:dyDescent="0.4">
      <c r="B45" s="218" t="s">
        <v>651</v>
      </c>
      <c r="C45" s="201"/>
      <c r="D45" s="202"/>
      <c r="E45" s="203"/>
      <c r="F45" s="203"/>
    </row>
    <row r="46" spans="2:6" ht="15" thickBot="1" x14ac:dyDescent="0.4">
      <c r="B46" s="218" t="s">
        <v>711</v>
      </c>
      <c r="C46" s="201"/>
      <c r="D46" s="202"/>
      <c r="E46" s="203"/>
      <c r="F46" s="203"/>
    </row>
    <row r="47" spans="2:6" ht="15" thickBot="1" x14ac:dyDescent="0.4">
      <c r="B47" s="218" t="s">
        <v>652</v>
      </c>
      <c r="C47" s="201"/>
      <c r="D47" s="202"/>
      <c r="E47" s="203"/>
      <c r="F47" s="203"/>
    </row>
  </sheetData>
  <sheetProtection sheet="1" objects="1" scenarios="1" selectLockedCells="1"/>
  <mergeCells count="1">
    <mergeCell ref="B9:F11"/>
  </mergeCells>
  <pageMargins left="0.7" right="0.7" top="0.75" bottom="0.75" header="0.3" footer="0.3"/>
  <pageSetup paperSize="9" orientation="portrait"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CC"/>
    <pageSetUpPr fitToPage="1"/>
  </sheetPr>
  <dimension ref="A1:Z117"/>
  <sheetViews>
    <sheetView zoomScale="98" zoomScaleNormal="98" workbookViewId="0">
      <selection activeCell="C12" sqref="C12"/>
    </sheetView>
  </sheetViews>
  <sheetFormatPr baseColWidth="10" defaultColWidth="11.453125" defaultRowHeight="14.5" x14ac:dyDescent="0.35"/>
  <cols>
    <col min="1" max="1" width="67.1796875" style="52" customWidth="1"/>
    <col min="2" max="3" width="11.54296875" style="53" customWidth="1"/>
    <col min="4" max="5" width="11.54296875" style="117" customWidth="1"/>
    <col min="6" max="6" width="34.1796875" style="117" customWidth="1"/>
    <col min="18" max="22" width="11.453125" style="9"/>
    <col min="23" max="23" width="14" style="9" customWidth="1"/>
    <col min="24" max="24" width="13.54296875" style="9" customWidth="1"/>
    <col min="25" max="263" width="11.453125" style="9"/>
    <col min="264" max="264" width="11.453125" style="9" customWidth="1"/>
    <col min="265" max="265" width="36.1796875" style="9" customWidth="1"/>
    <col min="266" max="267" width="13.81640625" style="9" customWidth="1"/>
    <col min="268" max="519" width="11.453125" style="9"/>
    <col min="520" max="520" width="11.453125" style="9" customWidth="1"/>
    <col min="521" max="521" width="36.1796875" style="9" customWidth="1"/>
    <col min="522" max="523" width="13.81640625" style="9" customWidth="1"/>
    <col min="524" max="775" width="11.453125" style="9"/>
    <col min="776" max="776" width="11.453125" style="9" customWidth="1"/>
    <col min="777" max="777" width="36.1796875" style="9" customWidth="1"/>
    <col min="778" max="779" width="13.81640625" style="9" customWidth="1"/>
    <col min="780" max="1031" width="11.453125" style="9"/>
    <col min="1032" max="1032" width="11.453125" style="9" customWidth="1"/>
    <col min="1033" max="1033" width="36.1796875" style="9" customWidth="1"/>
    <col min="1034" max="1035" width="13.81640625" style="9" customWidth="1"/>
    <col min="1036" max="1287" width="11.453125" style="9"/>
    <col min="1288" max="1288" width="11.453125" style="9" customWidth="1"/>
    <col min="1289" max="1289" width="36.1796875" style="9" customWidth="1"/>
    <col min="1290" max="1291" width="13.81640625" style="9" customWidth="1"/>
    <col min="1292" max="1543" width="11.453125" style="9"/>
    <col min="1544" max="1544" width="11.453125" style="9" customWidth="1"/>
    <col min="1545" max="1545" width="36.1796875" style="9" customWidth="1"/>
    <col min="1546" max="1547" width="13.81640625" style="9" customWidth="1"/>
    <col min="1548" max="1799" width="11.453125" style="9"/>
    <col min="1800" max="1800" width="11.453125" style="9" customWidth="1"/>
    <col min="1801" max="1801" width="36.1796875" style="9" customWidth="1"/>
    <col min="1802" max="1803" width="13.81640625" style="9" customWidth="1"/>
    <col min="1804" max="2055" width="11.453125" style="9"/>
    <col min="2056" max="2056" width="11.453125" style="9" customWidth="1"/>
    <col min="2057" max="2057" width="36.1796875" style="9" customWidth="1"/>
    <col min="2058" max="2059" width="13.81640625" style="9" customWidth="1"/>
    <col min="2060" max="2311" width="11.453125" style="9"/>
    <col min="2312" max="2312" width="11.453125" style="9" customWidth="1"/>
    <col min="2313" max="2313" width="36.1796875" style="9" customWidth="1"/>
    <col min="2314" max="2315" width="13.81640625" style="9" customWidth="1"/>
    <col min="2316" max="2567" width="11.453125" style="9"/>
    <col min="2568" max="2568" width="11.453125" style="9" customWidth="1"/>
    <col min="2569" max="2569" width="36.1796875" style="9" customWidth="1"/>
    <col min="2570" max="2571" width="13.81640625" style="9" customWidth="1"/>
    <col min="2572" max="2823" width="11.453125" style="9"/>
    <col min="2824" max="2824" width="11.453125" style="9" customWidth="1"/>
    <col min="2825" max="2825" width="36.1796875" style="9" customWidth="1"/>
    <col min="2826" max="2827" width="13.81640625" style="9" customWidth="1"/>
    <col min="2828" max="3079" width="11.453125" style="9"/>
    <col min="3080" max="3080" width="11.453125" style="9" customWidth="1"/>
    <col min="3081" max="3081" width="36.1796875" style="9" customWidth="1"/>
    <col min="3082" max="3083" width="13.81640625" style="9" customWidth="1"/>
    <col min="3084" max="3335" width="11.453125" style="9"/>
    <col min="3336" max="3336" width="11.453125" style="9" customWidth="1"/>
    <col min="3337" max="3337" width="36.1796875" style="9" customWidth="1"/>
    <col min="3338" max="3339" width="13.81640625" style="9" customWidth="1"/>
    <col min="3340" max="3591" width="11.453125" style="9"/>
    <col min="3592" max="3592" width="11.453125" style="9" customWidth="1"/>
    <col min="3593" max="3593" width="36.1796875" style="9" customWidth="1"/>
    <col min="3594" max="3595" width="13.81640625" style="9" customWidth="1"/>
    <col min="3596" max="3847" width="11.453125" style="9"/>
    <col min="3848" max="3848" width="11.453125" style="9" customWidth="1"/>
    <col min="3849" max="3849" width="36.1796875" style="9" customWidth="1"/>
    <col min="3850" max="3851" width="13.81640625" style="9" customWidth="1"/>
    <col min="3852" max="4103" width="11.453125" style="9"/>
    <col min="4104" max="4104" width="11.453125" style="9" customWidth="1"/>
    <col min="4105" max="4105" width="36.1796875" style="9" customWidth="1"/>
    <col min="4106" max="4107" width="13.81640625" style="9" customWidth="1"/>
    <col min="4108" max="4359" width="11.453125" style="9"/>
    <col min="4360" max="4360" width="11.453125" style="9" customWidth="1"/>
    <col min="4361" max="4361" width="36.1796875" style="9" customWidth="1"/>
    <col min="4362" max="4363" width="13.81640625" style="9" customWidth="1"/>
    <col min="4364" max="4615" width="11.453125" style="9"/>
    <col min="4616" max="4616" width="11.453125" style="9" customWidth="1"/>
    <col min="4617" max="4617" width="36.1796875" style="9" customWidth="1"/>
    <col min="4618" max="4619" width="13.81640625" style="9" customWidth="1"/>
    <col min="4620" max="4871" width="11.453125" style="9"/>
    <col min="4872" max="4872" width="11.453125" style="9" customWidth="1"/>
    <col min="4873" max="4873" width="36.1796875" style="9" customWidth="1"/>
    <col min="4874" max="4875" width="13.81640625" style="9" customWidth="1"/>
    <col min="4876" max="5127" width="11.453125" style="9"/>
    <col min="5128" max="5128" width="11.453125" style="9" customWidth="1"/>
    <col min="5129" max="5129" width="36.1796875" style="9" customWidth="1"/>
    <col min="5130" max="5131" width="13.81640625" style="9" customWidth="1"/>
    <col min="5132" max="5383" width="11.453125" style="9"/>
    <col min="5384" max="5384" width="11.453125" style="9" customWidth="1"/>
    <col min="5385" max="5385" width="36.1796875" style="9" customWidth="1"/>
    <col min="5386" max="5387" width="13.81640625" style="9" customWidth="1"/>
    <col min="5388" max="5639" width="11.453125" style="9"/>
    <col min="5640" max="5640" width="11.453125" style="9" customWidth="1"/>
    <col min="5641" max="5641" width="36.1796875" style="9" customWidth="1"/>
    <col min="5642" max="5643" width="13.81640625" style="9" customWidth="1"/>
    <col min="5644" max="5895" width="11.453125" style="9"/>
    <col min="5896" max="5896" width="11.453125" style="9" customWidth="1"/>
    <col min="5897" max="5897" width="36.1796875" style="9" customWidth="1"/>
    <col min="5898" max="5899" width="13.81640625" style="9" customWidth="1"/>
    <col min="5900" max="6151" width="11.453125" style="9"/>
    <col min="6152" max="6152" width="11.453125" style="9" customWidth="1"/>
    <col min="6153" max="6153" width="36.1796875" style="9" customWidth="1"/>
    <col min="6154" max="6155" width="13.81640625" style="9" customWidth="1"/>
    <col min="6156" max="6407" width="11.453125" style="9"/>
    <col min="6408" max="6408" width="11.453125" style="9" customWidth="1"/>
    <col min="6409" max="6409" width="36.1796875" style="9" customWidth="1"/>
    <col min="6410" max="6411" width="13.81640625" style="9" customWidth="1"/>
    <col min="6412" max="6663" width="11.453125" style="9"/>
    <col min="6664" max="6664" width="11.453125" style="9" customWidth="1"/>
    <col min="6665" max="6665" width="36.1796875" style="9" customWidth="1"/>
    <col min="6666" max="6667" width="13.81640625" style="9" customWidth="1"/>
    <col min="6668" max="6919" width="11.453125" style="9"/>
    <col min="6920" max="6920" width="11.453125" style="9" customWidth="1"/>
    <col min="6921" max="6921" width="36.1796875" style="9" customWidth="1"/>
    <col min="6922" max="6923" width="13.81640625" style="9" customWidth="1"/>
    <col min="6924" max="7175" width="11.453125" style="9"/>
    <col min="7176" max="7176" width="11.453125" style="9" customWidth="1"/>
    <col min="7177" max="7177" width="36.1796875" style="9" customWidth="1"/>
    <col min="7178" max="7179" width="13.81640625" style="9" customWidth="1"/>
    <col min="7180" max="7431" width="11.453125" style="9"/>
    <col min="7432" max="7432" width="11.453125" style="9" customWidth="1"/>
    <col min="7433" max="7433" width="36.1796875" style="9" customWidth="1"/>
    <col min="7434" max="7435" width="13.81640625" style="9" customWidth="1"/>
    <col min="7436" max="7687" width="11.453125" style="9"/>
    <col min="7688" max="7688" width="11.453125" style="9" customWidth="1"/>
    <col min="7689" max="7689" width="36.1796875" style="9" customWidth="1"/>
    <col min="7690" max="7691" width="13.81640625" style="9" customWidth="1"/>
    <col min="7692" max="7943" width="11.453125" style="9"/>
    <col min="7944" max="7944" width="11.453125" style="9" customWidth="1"/>
    <col min="7945" max="7945" width="36.1796875" style="9" customWidth="1"/>
    <col min="7946" max="7947" width="13.81640625" style="9" customWidth="1"/>
    <col min="7948" max="8199" width="11.453125" style="9"/>
    <col min="8200" max="8200" width="11.453125" style="9" customWidth="1"/>
    <col min="8201" max="8201" width="36.1796875" style="9" customWidth="1"/>
    <col min="8202" max="8203" width="13.81640625" style="9" customWidth="1"/>
    <col min="8204" max="8455" width="11.453125" style="9"/>
    <col min="8456" max="8456" width="11.453125" style="9" customWidth="1"/>
    <col min="8457" max="8457" width="36.1796875" style="9" customWidth="1"/>
    <col min="8458" max="8459" width="13.81640625" style="9" customWidth="1"/>
    <col min="8460" max="8711" width="11.453125" style="9"/>
    <col min="8712" max="8712" width="11.453125" style="9" customWidth="1"/>
    <col min="8713" max="8713" width="36.1796875" style="9" customWidth="1"/>
    <col min="8714" max="8715" width="13.81640625" style="9" customWidth="1"/>
    <col min="8716" max="8967" width="11.453125" style="9"/>
    <col min="8968" max="8968" width="11.453125" style="9" customWidth="1"/>
    <col min="8969" max="8969" width="36.1796875" style="9" customWidth="1"/>
    <col min="8970" max="8971" width="13.81640625" style="9" customWidth="1"/>
    <col min="8972" max="9223" width="11.453125" style="9"/>
    <col min="9224" max="9224" width="11.453125" style="9" customWidth="1"/>
    <col min="9225" max="9225" width="36.1796875" style="9" customWidth="1"/>
    <col min="9226" max="9227" width="13.81640625" style="9" customWidth="1"/>
    <col min="9228" max="9479" width="11.453125" style="9"/>
    <col min="9480" max="9480" width="11.453125" style="9" customWidth="1"/>
    <col min="9481" max="9481" width="36.1796875" style="9" customWidth="1"/>
    <col min="9482" max="9483" width="13.81640625" style="9" customWidth="1"/>
    <col min="9484" max="9735" width="11.453125" style="9"/>
    <col min="9736" max="9736" width="11.453125" style="9" customWidth="1"/>
    <col min="9737" max="9737" width="36.1796875" style="9" customWidth="1"/>
    <col min="9738" max="9739" width="13.81640625" style="9" customWidth="1"/>
    <col min="9740" max="9991" width="11.453125" style="9"/>
    <col min="9992" max="9992" width="11.453125" style="9" customWidth="1"/>
    <col min="9993" max="9993" width="36.1796875" style="9" customWidth="1"/>
    <col min="9994" max="9995" width="13.81640625" style="9" customWidth="1"/>
    <col min="9996" max="10247" width="11.453125" style="9"/>
    <col min="10248" max="10248" width="11.453125" style="9" customWidth="1"/>
    <col min="10249" max="10249" width="36.1796875" style="9" customWidth="1"/>
    <col min="10250" max="10251" width="13.81640625" style="9" customWidth="1"/>
    <col min="10252" max="10503" width="11.453125" style="9"/>
    <col min="10504" max="10504" width="11.453125" style="9" customWidth="1"/>
    <col min="10505" max="10505" width="36.1796875" style="9" customWidth="1"/>
    <col min="10506" max="10507" width="13.81640625" style="9" customWidth="1"/>
    <col min="10508" max="10759" width="11.453125" style="9"/>
    <col min="10760" max="10760" width="11.453125" style="9" customWidth="1"/>
    <col min="10761" max="10761" width="36.1796875" style="9" customWidth="1"/>
    <col min="10762" max="10763" width="13.81640625" style="9" customWidth="1"/>
    <col min="10764" max="11015" width="11.453125" style="9"/>
    <col min="11016" max="11016" width="11.453125" style="9" customWidth="1"/>
    <col min="11017" max="11017" width="36.1796875" style="9" customWidth="1"/>
    <col min="11018" max="11019" width="13.81640625" style="9" customWidth="1"/>
    <col min="11020" max="11271" width="11.453125" style="9"/>
    <col min="11272" max="11272" width="11.453125" style="9" customWidth="1"/>
    <col min="11273" max="11273" width="36.1796875" style="9" customWidth="1"/>
    <col min="11274" max="11275" width="13.81640625" style="9" customWidth="1"/>
    <col min="11276" max="11527" width="11.453125" style="9"/>
    <col min="11528" max="11528" width="11.453125" style="9" customWidth="1"/>
    <col min="11529" max="11529" width="36.1796875" style="9" customWidth="1"/>
    <col min="11530" max="11531" width="13.81640625" style="9" customWidth="1"/>
    <col min="11532" max="11783" width="11.453125" style="9"/>
    <col min="11784" max="11784" width="11.453125" style="9" customWidth="1"/>
    <col min="11785" max="11785" width="36.1796875" style="9" customWidth="1"/>
    <col min="11786" max="11787" width="13.81640625" style="9" customWidth="1"/>
    <col min="11788" max="12039" width="11.453125" style="9"/>
    <col min="12040" max="12040" width="11.453125" style="9" customWidth="1"/>
    <col min="12041" max="12041" width="36.1796875" style="9" customWidth="1"/>
    <col min="12042" max="12043" width="13.81640625" style="9" customWidth="1"/>
    <col min="12044" max="12295" width="11.453125" style="9"/>
    <col min="12296" max="12296" width="11.453125" style="9" customWidth="1"/>
    <col min="12297" max="12297" width="36.1796875" style="9" customWidth="1"/>
    <col min="12298" max="12299" width="13.81640625" style="9" customWidth="1"/>
    <col min="12300" max="12551" width="11.453125" style="9"/>
    <col min="12552" max="12552" width="11.453125" style="9" customWidth="1"/>
    <col min="12553" max="12553" width="36.1796875" style="9" customWidth="1"/>
    <col min="12554" max="12555" width="13.81640625" style="9" customWidth="1"/>
    <col min="12556" max="12807" width="11.453125" style="9"/>
    <col min="12808" max="12808" width="11.453125" style="9" customWidth="1"/>
    <col min="12809" max="12809" width="36.1796875" style="9" customWidth="1"/>
    <col min="12810" max="12811" width="13.81640625" style="9" customWidth="1"/>
    <col min="12812" max="13063" width="11.453125" style="9"/>
    <col min="13064" max="13064" width="11.453125" style="9" customWidth="1"/>
    <col min="13065" max="13065" width="36.1796875" style="9" customWidth="1"/>
    <col min="13066" max="13067" width="13.81640625" style="9" customWidth="1"/>
    <col min="13068" max="13319" width="11.453125" style="9"/>
    <col min="13320" max="13320" width="11.453125" style="9" customWidth="1"/>
    <col min="13321" max="13321" width="36.1796875" style="9" customWidth="1"/>
    <col min="13322" max="13323" width="13.81640625" style="9" customWidth="1"/>
    <col min="13324" max="13575" width="11.453125" style="9"/>
    <col min="13576" max="13576" width="11.453125" style="9" customWidth="1"/>
    <col min="13577" max="13577" width="36.1796875" style="9" customWidth="1"/>
    <col min="13578" max="13579" width="13.81640625" style="9" customWidth="1"/>
    <col min="13580" max="13831" width="11.453125" style="9"/>
    <col min="13832" max="13832" width="11.453125" style="9" customWidth="1"/>
    <col min="13833" max="13833" width="36.1796875" style="9" customWidth="1"/>
    <col min="13834" max="13835" width="13.81640625" style="9" customWidth="1"/>
    <col min="13836" max="14087" width="11.453125" style="9"/>
    <col min="14088" max="14088" width="11.453125" style="9" customWidth="1"/>
    <col min="14089" max="14089" width="36.1796875" style="9" customWidth="1"/>
    <col min="14090" max="14091" width="13.81640625" style="9" customWidth="1"/>
    <col min="14092" max="14343" width="11.453125" style="9"/>
    <col min="14344" max="14344" width="11.453125" style="9" customWidth="1"/>
    <col min="14345" max="14345" width="36.1796875" style="9" customWidth="1"/>
    <col min="14346" max="14347" width="13.81640625" style="9" customWidth="1"/>
    <col min="14348" max="14599" width="11.453125" style="9"/>
    <col min="14600" max="14600" width="11.453125" style="9" customWidth="1"/>
    <col min="14601" max="14601" width="36.1796875" style="9" customWidth="1"/>
    <col min="14602" max="14603" width="13.81640625" style="9" customWidth="1"/>
    <col min="14604" max="14855" width="11.453125" style="9"/>
    <col min="14856" max="14856" width="11.453125" style="9" customWidth="1"/>
    <col min="14857" max="14857" width="36.1796875" style="9" customWidth="1"/>
    <col min="14858" max="14859" width="13.81640625" style="9" customWidth="1"/>
    <col min="14860" max="15111" width="11.453125" style="9"/>
    <col min="15112" max="15112" width="11.453125" style="9" customWidth="1"/>
    <col min="15113" max="15113" width="36.1796875" style="9" customWidth="1"/>
    <col min="15114" max="15115" width="13.81640625" style="9" customWidth="1"/>
    <col min="15116" max="15367" width="11.453125" style="9"/>
    <col min="15368" max="15368" width="11.453125" style="9" customWidth="1"/>
    <col min="15369" max="15369" width="36.1796875" style="9" customWidth="1"/>
    <col min="15370" max="15371" width="13.81640625" style="9" customWidth="1"/>
    <col min="15372" max="15623" width="11.453125" style="9"/>
    <col min="15624" max="15624" width="11.453125" style="9" customWidth="1"/>
    <col min="15625" max="15625" width="36.1796875" style="9" customWidth="1"/>
    <col min="15626" max="15627" width="13.81640625" style="9" customWidth="1"/>
    <col min="15628" max="15879" width="11.453125" style="9"/>
    <col min="15880" max="15880" width="11.453125" style="9" customWidth="1"/>
    <col min="15881" max="15881" width="36.1796875" style="9" customWidth="1"/>
    <col min="15882" max="15883" width="13.81640625" style="9" customWidth="1"/>
    <col min="15884" max="16135" width="11.453125" style="9"/>
    <col min="16136" max="16136" width="11.453125" style="9" customWidth="1"/>
    <col min="16137" max="16137" width="36.1796875" style="9" customWidth="1"/>
    <col min="16138" max="16139" width="13.81640625" style="9" customWidth="1"/>
    <col min="16140" max="16384" width="11.453125" style="9"/>
  </cols>
  <sheetData>
    <row r="1" spans="1:26" s="5" customFormat="1" ht="18" x14ac:dyDescent="0.4">
      <c r="A1" s="189" t="s">
        <v>768</v>
      </c>
      <c r="B1" s="190" t="s">
        <v>222</v>
      </c>
      <c r="C1" s="182" t="s">
        <v>221</v>
      </c>
      <c r="D1" s="181"/>
      <c r="E1" s="182"/>
      <c r="F1" s="183"/>
      <c r="I1" s="35"/>
    </row>
    <row r="2" spans="1:26" s="109" customFormat="1" ht="18.75" customHeight="1" thickBot="1" x14ac:dyDescent="0.45">
      <c r="A2" s="199" t="s">
        <v>220</v>
      </c>
      <c r="B2" s="63"/>
      <c r="C2" s="62" t="s">
        <v>653</v>
      </c>
      <c r="D2" s="367" t="s">
        <v>218</v>
      </c>
      <c r="E2" s="367"/>
      <c r="F2" s="368"/>
      <c r="I2" s="110"/>
    </row>
    <row r="3" spans="1:26" s="111" customFormat="1" ht="18.75" customHeight="1" x14ac:dyDescent="0.3">
      <c r="A3" s="199" t="s">
        <v>654</v>
      </c>
      <c r="B3" s="63" t="s">
        <v>215</v>
      </c>
      <c r="C3" s="62" t="s">
        <v>653</v>
      </c>
      <c r="D3" s="166" t="s">
        <v>219</v>
      </c>
      <c r="E3" s="166"/>
      <c r="F3" s="184"/>
    </row>
    <row r="4" spans="1:26" s="109" customFormat="1" ht="18.75" customHeight="1" x14ac:dyDescent="0.4">
      <c r="A4" s="199" t="s">
        <v>498</v>
      </c>
      <c r="B4" s="63"/>
      <c r="C4" s="62" t="s">
        <v>653</v>
      </c>
      <c r="D4" s="166" t="s">
        <v>217</v>
      </c>
      <c r="E4" s="166"/>
      <c r="F4" s="184"/>
    </row>
    <row r="5" spans="1:26" s="113" customFormat="1" ht="18.75" customHeight="1" x14ac:dyDescent="0.4">
      <c r="A5" s="199" t="s">
        <v>542</v>
      </c>
      <c r="B5" s="63"/>
      <c r="C5" s="62" t="s">
        <v>653</v>
      </c>
      <c r="D5" s="166" t="s">
        <v>543</v>
      </c>
      <c r="E5" s="166"/>
      <c r="F5" s="184"/>
      <c r="G5" s="112"/>
      <c r="H5" s="112"/>
      <c r="I5" s="4"/>
      <c r="J5" s="4"/>
      <c r="K5" s="4"/>
      <c r="L5" s="112"/>
      <c r="M5" s="112"/>
      <c r="N5" s="112"/>
      <c r="O5" s="112"/>
      <c r="P5" s="112"/>
      <c r="Q5" s="112"/>
      <c r="R5" s="366"/>
      <c r="S5" s="366"/>
    </row>
    <row r="6" spans="1:26" s="113" customFormat="1" ht="18.75" customHeight="1" x14ac:dyDescent="0.35">
      <c r="A6" s="199" t="s">
        <v>655</v>
      </c>
      <c r="B6" s="63"/>
      <c r="C6" s="62" t="s">
        <v>653</v>
      </c>
      <c r="D6" s="166" t="s">
        <v>535</v>
      </c>
      <c r="E6" s="166"/>
      <c r="F6" s="184"/>
      <c r="G6" s="112"/>
      <c r="H6" s="112"/>
      <c r="I6" s="6"/>
      <c r="J6" s="6"/>
      <c r="K6" s="6"/>
      <c r="L6" s="112"/>
      <c r="M6" s="112"/>
      <c r="N6" s="112"/>
      <c r="O6" s="112"/>
      <c r="P6" s="112"/>
      <c r="Q6" s="112"/>
      <c r="R6" s="114"/>
      <c r="S6" s="114"/>
      <c r="T6" s="13"/>
      <c r="U6" s="13"/>
      <c r="W6" s="13"/>
      <c r="X6" s="13"/>
      <c r="Y6" s="13"/>
      <c r="Z6" s="13"/>
    </row>
    <row r="7" spans="1:26" s="113" customFormat="1" ht="18.75" customHeight="1" thickBot="1" x14ac:dyDescent="0.4">
      <c r="A7" s="200" t="s">
        <v>656</v>
      </c>
      <c r="B7" s="185"/>
      <c r="C7" s="186" t="s">
        <v>653</v>
      </c>
      <c r="D7" s="187" t="s">
        <v>536</v>
      </c>
      <c r="E7" s="187"/>
      <c r="F7" s="188"/>
      <c r="G7" s="112"/>
      <c r="H7" s="112"/>
      <c r="I7" s="115"/>
      <c r="J7" s="115"/>
      <c r="K7" s="116"/>
      <c r="L7" s="112"/>
      <c r="M7" s="112"/>
      <c r="N7" s="112"/>
      <c r="O7" s="112"/>
      <c r="P7" s="112"/>
      <c r="Q7" s="112"/>
      <c r="R7" s="111"/>
      <c r="S7" s="111"/>
      <c r="T7" s="111"/>
      <c r="U7" s="111"/>
      <c r="W7" s="111"/>
      <c r="X7" s="111"/>
      <c r="Y7" s="111"/>
      <c r="Z7" s="111"/>
    </row>
    <row r="8" spans="1:26" x14ac:dyDescent="0.35">
      <c r="R8" s="11"/>
      <c r="S8" s="11"/>
      <c r="T8" s="12"/>
      <c r="U8" s="12"/>
    </row>
    <row r="9" spans="1:26" ht="15.75" customHeight="1" thickBot="1" x14ac:dyDescent="0.4">
      <c r="A9" s="58" t="s">
        <v>540</v>
      </c>
      <c r="R9" s="11"/>
      <c r="S9" s="11"/>
      <c r="T9" s="12"/>
      <c r="U9" s="12"/>
    </row>
    <row r="10" spans="1:26" x14ac:dyDescent="0.35">
      <c r="A10" s="189" t="s">
        <v>499</v>
      </c>
      <c r="B10" s="190" t="s">
        <v>214</v>
      </c>
      <c r="C10" s="182" t="s">
        <v>213</v>
      </c>
      <c r="D10" s="181" t="s">
        <v>212</v>
      </c>
      <c r="E10" s="182"/>
      <c r="F10" s="183"/>
      <c r="R10" s="11"/>
      <c r="S10" s="11"/>
      <c r="T10" s="12"/>
      <c r="U10" s="12"/>
    </row>
    <row r="11" spans="1:26" ht="15.5" x14ac:dyDescent="0.4">
      <c r="A11" s="216" t="s">
        <v>500</v>
      </c>
      <c r="B11" s="192">
        <v>0.01</v>
      </c>
      <c r="C11" s="207">
        <v>0.01</v>
      </c>
      <c r="D11" s="363" t="s">
        <v>757</v>
      </c>
      <c r="E11" s="364"/>
      <c r="F11" s="365"/>
      <c r="R11" s="11"/>
      <c r="S11" s="11"/>
      <c r="T11" s="12"/>
      <c r="U11" s="12"/>
    </row>
    <row r="12" spans="1:26" x14ac:dyDescent="0.35">
      <c r="A12" s="193" t="s">
        <v>662</v>
      </c>
      <c r="B12" s="192">
        <v>1.7</v>
      </c>
      <c r="C12" s="130">
        <v>1.7</v>
      </c>
      <c r="D12" s="363" t="s">
        <v>714</v>
      </c>
      <c r="E12" s="364"/>
      <c r="F12" s="365"/>
      <c r="R12" s="11"/>
      <c r="S12" s="11"/>
      <c r="T12" s="12"/>
      <c r="U12" s="12"/>
    </row>
    <row r="13" spans="1:26" x14ac:dyDescent="0.35">
      <c r="A13" s="193" t="s">
        <v>720</v>
      </c>
      <c r="B13" s="192">
        <v>0.4</v>
      </c>
      <c r="C13" s="165">
        <v>0.4</v>
      </c>
      <c r="D13" s="363" t="s">
        <v>715</v>
      </c>
      <c r="E13" s="364"/>
      <c r="F13" s="365"/>
      <c r="R13" s="11"/>
      <c r="S13" s="11"/>
      <c r="T13" s="12"/>
      <c r="U13" s="12"/>
    </row>
    <row r="14" spans="1:26" ht="15" thickBot="1" x14ac:dyDescent="0.4">
      <c r="A14" s="194" t="s">
        <v>598</v>
      </c>
      <c r="B14" s="213">
        <v>0.2</v>
      </c>
      <c r="C14" s="130">
        <v>0.2</v>
      </c>
      <c r="D14" s="369" t="s">
        <v>716</v>
      </c>
      <c r="E14" s="370"/>
      <c r="F14" s="371"/>
      <c r="R14" s="11"/>
      <c r="S14" s="11"/>
      <c r="T14" s="12"/>
      <c r="U14" s="12"/>
    </row>
    <row r="15" spans="1:26" x14ac:dyDescent="0.35">
      <c r="A15" s="189" t="s">
        <v>216</v>
      </c>
      <c r="B15" s="190" t="s">
        <v>214</v>
      </c>
      <c r="C15" s="182" t="s">
        <v>213</v>
      </c>
      <c r="D15" s="181" t="s">
        <v>212</v>
      </c>
      <c r="E15" s="182"/>
      <c r="F15" s="183"/>
      <c r="R15" s="11"/>
      <c r="S15" s="11"/>
      <c r="T15" s="12"/>
      <c r="U15" s="12"/>
    </row>
    <row r="16" spans="1:26" x14ac:dyDescent="0.35">
      <c r="A16" s="194" t="s">
        <v>664</v>
      </c>
      <c r="B16" s="213">
        <v>50</v>
      </c>
      <c r="C16" s="130">
        <v>50</v>
      </c>
      <c r="D16" s="363" t="s">
        <v>758</v>
      </c>
      <c r="E16" s="364"/>
      <c r="F16" s="365"/>
      <c r="R16" s="11"/>
      <c r="S16" s="11"/>
      <c r="T16" s="12"/>
      <c r="U16" s="12"/>
    </row>
    <row r="17" spans="1:21" x14ac:dyDescent="0.35">
      <c r="A17" s="194" t="s">
        <v>665</v>
      </c>
      <c r="B17" s="213">
        <v>50</v>
      </c>
      <c r="C17" s="130">
        <v>50</v>
      </c>
      <c r="D17" s="363" t="s">
        <v>758</v>
      </c>
      <c r="E17" s="364"/>
      <c r="F17" s="365"/>
      <c r="R17" s="11"/>
      <c r="S17" s="11"/>
      <c r="T17" s="12"/>
      <c r="U17" s="12"/>
    </row>
    <row r="18" spans="1:21" ht="15" customHeight="1" x14ac:dyDescent="0.35">
      <c r="A18" s="194" t="s">
        <v>6</v>
      </c>
      <c r="B18" s="213">
        <v>4</v>
      </c>
      <c r="C18" s="130">
        <v>4</v>
      </c>
      <c r="D18" s="363" t="s">
        <v>717</v>
      </c>
      <c r="E18" s="364"/>
      <c r="F18" s="365"/>
      <c r="R18" s="11"/>
      <c r="S18" s="11"/>
      <c r="T18" s="12"/>
      <c r="U18" s="12"/>
    </row>
    <row r="19" spans="1:21" x14ac:dyDescent="0.35">
      <c r="A19" s="194" t="s">
        <v>57</v>
      </c>
      <c r="B19" s="213">
        <v>1500</v>
      </c>
      <c r="C19" s="130">
        <v>1500</v>
      </c>
      <c r="D19" s="363" t="s">
        <v>718</v>
      </c>
      <c r="E19" s="364"/>
      <c r="F19" s="365"/>
      <c r="R19" s="11"/>
      <c r="S19" s="11"/>
      <c r="T19" s="12"/>
      <c r="U19" s="12"/>
    </row>
    <row r="20" spans="1:21" ht="15" thickBot="1" x14ac:dyDescent="0.4">
      <c r="A20" s="197" t="s">
        <v>597</v>
      </c>
      <c r="B20" s="215">
        <v>0.8</v>
      </c>
      <c r="C20" s="131">
        <v>0.8</v>
      </c>
      <c r="D20" s="369" t="s">
        <v>719</v>
      </c>
      <c r="E20" s="370"/>
      <c r="F20" s="371"/>
      <c r="R20" s="11"/>
      <c r="S20" s="11"/>
      <c r="T20" s="12"/>
      <c r="U20" s="12"/>
    </row>
    <row r="21" spans="1:21" x14ac:dyDescent="0.35">
      <c r="C21" s="122"/>
      <c r="D21" s="123"/>
      <c r="E21" s="123"/>
      <c r="F21" s="123"/>
      <c r="R21" s="11"/>
      <c r="S21" s="11"/>
      <c r="T21" s="12"/>
      <c r="U21" s="12"/>
    </row>
    <row r="22" spans="1:21" ht="15" thickBot="1" x14ac:dyDescent="0.4">
      <c r="A22" s="58" t="s">
        <v>541</v>
      </c>
      <c r="B22" s="61"/>
      <c r="C22" s="60"/>
      <c r="D22" s="59"/>
      <c r="E22" s="59"/>
      <c r="F22" s="59"/>
      <c r="R22" s="11"/>
      <c r="S22" s="11"/>
      <c r="T22" s="12"/>
      <c r="U22" s="12"/>
    </row>
    <row r="23" spans="1:21" x14ac:dyDescent="0.35">
      <c r="A23" s="189" t="s">
        <v>499</v>
      </c>
      <c r="B23" s="190" t="s">
        <v>214</v>
      </c>
      <c r="C23" s="182" t="s">
        <v>213</v>
      </c>
      <c r="D23" s="181" t="s">
        <v>212</v>
      </c>
      <c r="E23" s="182"/>
      <c r="F23" s="183"/>
      <c r="R23" s="11"/>
      <c r="S23" s="11"/>
      <c r="T23" s="12"/>
      <c r="U23" s="12"/>
    </row>
    <row r="24" spans="1:21" ht="15.5" x14ac:dyDescent="0.4">
      <c r="A24" s="216" t="s">
        <v>500</v>
      </c>
      <c r="B24" s="217">
        <v>1E-3</v>
      </c>
      <c r="C24" s="208">
        <v>1E-3</v>
      </c>
      <c r="D24" s="363" t="s">
        <v>721</v>
      </c>
      <c r="E24" s="364"/>
      <c r="F24" s="365"/>
      <c r="R24" s="11"/>
      <c r="S24" s="11"/>
      <c r="T24" s="12"/>
      <c r="U24" s="12"/>
    </row>
    <row r="25" spans="1:21" x14ac:dyDescent="0.35">
      <c r="A25" s="193" t="s">
        <v>661</v>
      </c>
      <c r="B25" s="192">
        <v>1.7</v>
      </c>
      <c r="C25" s="130">
        <v>1.7</v>
      </c>
      <c r="D25" s="363" t="s">
        <v>714</v>
      </c>
      <c r="E25" s="364"/>
      <c r="F25" s="365"/>
      <c r="R25" s="11"/>
      <c r="S25" s="11"/>
      <c r="T25" s="12"/>
      <c r="U25" s="12"/>
    </row>
    <row r="26" spans="1:21" ht="15" thickBot="1" x14ac:dyDescent="0.4">
      <c r="A26" s="193" t="s">
        <v>663</v>
      </c>
      <c r="B26" s="214">
        <v>0.4</v>
      </c>
      <c r="C26" s="209">
        <f>C13</f>
        <v>0.4</v>
      </c>
      <c r="D26" s="369" t="s">
        <v>715</v>
      </c>
      <c r="E26" s="370"/>
      <c r="F26" s="371"/>
      <c r="R26" s="11"/>
      <c r="S26" s="11"/>
      <c r="T26" s="12"/>
      <c r="U26" s="12"/>
    </row>
    <row r="27" spans="1:21" x14ac:dyDescent="0.35">
      <c r="A27" s="189" t="s">
        <v>670</v>
      </c>
      <c r="B27" s="190" t="s">
        <v>214</v>
      </c>
      <c r="C27" s="182" t="s">
        <v>213</v>
      </c>
      <c r="D27" s="181" t="s">
        <v>212</v>
      </c>
      <c r="E27" s="182"/>
      <c r="F27" s="183"/>
      <c r="R27" s="11"/>
      <c r="S27" s="11"/>
      <c r="T27" s="12"/>
      <c r="U27" s="12"/>
    </row>
    <row r="28" spans="1:21" ht="15.75" customHeight="1" x14ac:dyDescent="0.35">
      <c r="A28" s="194" t="s">
        <v>7</v>
      </c>
      <c r="B28" s="213">
        <v>2365</v>
      </c>
      <c r="C28" s="130">
        <v>2365</v>
      </c>
      <c r="D28" s="374" t="s">
        <v>759</v>
      </c>
      <c r="E28" s="375"/>
      <c r="F28" s="376"/>
      <c r="R28" s="11"/>
      <c r="S28" s="11"/>
      <c r="T28" s="12"/>
      <c r="U28" s="12"/>
    </row>
    <row r="29" spans="1:21" ht="15.75" customHeight="1" x14ac:dyDescent="0.35">
      <c r="A29" s="194" t="s">
        <v>53</v>
      </c>
      <c r="B29" s="213">
        <v>5</v>
      </c>
      <c r="C29" s="130">
        <v>5</v>
      </c>
      <c r="D29" s="363" t="s">
        <v>760</v>
      </c>
      <c r="E29" s="364"/>
      <c r="F29" s="365"/>
      <c r="R29" s="11"/>
      <c r="S29" s="11"/>
      <c r="T29" s="12"/>
      <c r="U29" s="12"/>
    </row>
    <row r="30" spans="1:21" ht="15.75" customHeight="1" thickBot="1" x14ac:dyDescent="0.4">
      <c r="A30" s="197" t="s">
        <v>671</v>
      </c>
      <c r="B30" s="215">
        <v>50</v>
      </c>
      <c r="C30" s="131">
        <v>50</v>
      </c>
      <c r="D30" s="369" t="s">
        <v>668</v>
      </c>
      <c r="E30" s="370"/>
      <c r="F30" s="371"/>
      <c r="R30" s="11"/>
      <c r="S30" s="11"/>
      <c r="T30" s="12"/>
      <c r="U30" s="12"/>
    </row>
    <row r="31" spans="1:21" ht="15.75" customHeight="1" x14ac:dyDescent="0.35">
      <c r="R31" s="28" t="s">
        <v>59</v>
      </c>
      <c r="S31" s="11"/>
      <c r="T31" s="12"/>
      <c r="U31" s="12"/>
    </row>
    <row r="32" spans="1:21" ht="15.75" customHeight="1" thickBot="1" x14ac:dyDescent="0.4">
      <c r="A32" s="58" t="s">
        <v>544</v>
      </c>
      <c r="B32" s="61"/>
      <c r="C32" s="60"/>
      <c r="D32" s="59"/>
      <c r="E32" s="59"/>
      <c r="F32" s="59"/>
      <c r="R32" s="28" t="s">
        <v>60</v>
      </c>
      <c r="S32" s="11"/>
      <c r="T32" s="12"/>
      <c r="U32" s="12"/>
    </row>
    <row r="33" spans="1:21" x14ac:dyDescent="0.35">
      <c r="A33" s="189" t="s">
        <v>499</v>
      </c>
      <c r="B33" s="190" t="s">
        <v>214</v>
      </c>
      <c r="C33" s="182" t="s">
        <v>213</v>
      </c>
      <c r="D33" s="181" t="s">
        <v>212</v>
      </c>
      <c r="E33" s="182"/>
      <c r="F33" s="183"/>
      <c r="R33" s="11"/>
      <c r="S33" s="11"/>
      <c r="T33" s="12"/>
      <c r="U33" s="12"/>
    </row>
    <row r="34" spans="1:21" s="127" customFormat="1" ht="15.75" customHeight="1" x14ac:dyDescent="0.3">
      <c r="A34" s="191" t="s">
        <v>62</v>
      </c>
      <c r="B34" s="213">
        <v>5000000</v>
      </c>
      <c r="C34" s="210">
        <v>5000000</v>
      </c>
      <c r="D34" s="377" t="s">
        <v>761</v>
      </c>
      <c r="E34" s="377"/>
      <c r="F34" s="378"/>
      <c r="G34" s="124"/>
      <c r="H34" s="124"/>
      <c r="I34" s="124"/>
      <c r="J34" s="124"/>
      <c r="K34" s="124"/>
      <c r="L34" s="124"/>
      <c r="M34" s="124"/>
      <c r="N34" s="124"/>
      <c r="O34" s="124"/>
      <c r="P34" s="124"/>
      <c r="Q34" s="124"/>
      <c r="R34" s="125" t="s">
        <v>60</v>
      </c>
      <c r="S34" s="125"/>
      <c r="T34" s="126"/>
      <c r="U34" s="126"/>
    </row>
    <row r="35" spans="1:21" s="127" customFormat="1" ht="15.75" customHeight="1" x14ac:dyDescent="0.3">
      <c r="A35" s="193" t="s">
        <v>64</v>
      </c>
      <c r="B35" s="214">
        <v>1</v>
      </c>
      <c r="C35" s="207">
        <v>1</v>
      </c>
      <c r="D35" s="377" t="s">
        <v>761</v>
      </c>
      <c r="E35" s="377"/>
      <c r="F35" s="378"/>
      <c r="G35" s="124"/>
      <c r="H35" s="124"/>
      <c r="I35" s="124"/>
      <c r="J35" s="124"/>
      <c r="K35" s="124"/>
      <c r="L35" s="124"/>
      <c r="M35" s="124"/>
      <c r="N35" s="124"/>
      <c r="O35" s="124"/>
      <c r="P35" s="124"/>
      <c r="Q35" s="124"/>
      <c r="R35" s="125" t="s">
        <v>61</v>
      </c>
      <c r="S35" s="125"/>
      <c r="T35" s="126"/>
      <c r="U35" s="126"/>
    </row>
    <row r="36" spans="1:21" s="127" customFormat="1" ht="15.75" customHeight="1" thickBot="1" x14ac:dyDescent="0.35">
      <c r="A36" s="197" t="s">
        <v>745</v>
      </c>
      <c r="B36" s="211">
        <f>B34/B35</f>
        <v>5000000</v>
      </c>
      <c r="C36" s="212">
        <f>C34/C35</f>
        <v>5000000</v>
      </c>
      <c r="D36" s="372" t="s">
        <v>722</v>
      </c>
      <c r="E36" s="372"/>
      <c r="F36" s="373"/>
      <c r="G36" s="124"/>
      <c r="H36" s="124"/>
      <c r="I36" s="124"/>
      <c r="J36" s="124"/>
      <c r="K36" s="124"/>
      <c r="L36" s="124"/>
      <c r="M36" s="124"/>
      <c r="N36" s="124"/>
      <c r="O36" s="124"/>
      <c r="P36" s="124"/>
      <c r="Q36" s="124"/>
      <c r="R36" s="125"/>
      <c r="S36" s="125"/>
      <c r="T36" s="126"/>
      <c r="U36" s="126"/>
    </row>
    <row r="37" spans="1:21" x14ac:dyDescent="0.35">
      <c r="R37" s="11"/>
      <c r="S37" s="11"/>
      <c r="T37" s="12"/>
      <c r="U37" s="12"/>
    </row>
    <row r="38" spans="1:21" ht="15" customHeight="1" x14ac:dyDescent="0.35">
      <c r="R38" s="11"/>
      <c r="S38" s="11"/>
      <c r="T38" s="12"/>
      <c r="U38" s="12"/>
    </row>
    <row r="39" spans="1:21" ht="15.75" customHeight="1" thickBot="1" x14ac:dyDescent="0.4">
      <c r="A39" s="121" t="s">
        <v>566</v>
      </c>
      <c r="B39" s="89"/>
      <c r="R39" s="11"/>
      <c r="S39" s="11"/>
      <c r="T39" s="12"/>
      <c r="U39" s="12"/>
    </row>
    <row r="40" spans="1:21" ht="15.75" customHeight="1" x14ac:dyDescent="0.35">
      <c r="A40" s="189" t="s">
        <v>567</v>
      </c>
      <c r="B40" s="190"/>
      <c r="R40" s="11"/>
      <c r="S40" s="11"/>
      <c r="T40" s="12"/>
      <c r="U40" s="12"/>
    </row>
    <row r="41" spans="1:21" s="127" customFormat="1" ht="15.75" customHeight="1" x14ac:dyDescent="0.3">
      <c r="A41" s="191" t="s">
        <v>666</v>
      </c>
      <c r="B41" s="192">
        <f>'1a. Spredningsmodell input'!C16*'1a. Spredningsmodell input'!C17</f>
        <v>2500</v>
      </c>
      <c r="C41" s="122"/>
      <c r="D41" s="123"/>
      <c r="E41" s="123"/>
      <c r="F41" s="123"/>
      <c r="G41" s="124"/>
      <c r="H41" s="124"/>
      <c r="I41" s="124"/>
      <c r="J41" s="124"/>
      <c r="K41" s="124"/>
      <c r="L41" s="124"/>
      <c r="M41" s="124"/>
      <c r="N41" s="124"/>
      <c r="O41" s="124"/>
      <c r="P41" s="124"/>
      <c r="Q41" s="124"/>
      <c r="R41" s="125"/>
      <c r="S41" s="125"/>
      <c r="T41" s="126"/>
      <c r="U41" s="126"/>
    </row>
    <row r="42" spans="1:21" s="127" customFormat="1" ht="15.75" customHeight="1" x14ac:dyDescent="0.3">
      <c r="A42" s="193" t="s">
        <v>660</v>
      </c>
      <c r="B42" s="192">
        <f>('1a. Spredningsmodell input'!C19*'1a. Spredningsmodell input'!C20/1000)/('1a. Spredningsmodell input'!C14)</f>
        <v>5.9999999999999991</v>
      </c>
      <c r="C42" s="122"/>
      <c r="D42" s="123"/>
      <c r="E42" s="123"/>
      <c r="F42" s="123"/>
      <c r="G42" s="124"/>
      <c r="H42" s="124"/>
      <c r="I42" s="124"/>
      <c r="J42" s="124"/>
      <c r="K42" s="124"/>
      <c r="L42" s="124"/>
      <c r="M42" s="124"/>
      <c r="N42" s="124"/>
      <c r="O42" s="124"/>
      <c r="P42" s="124"/>
      <c r="Q42" s="124"/>
      <c r="R42" s="125"/>
      <c r="S42" s="125"/>
      <c r="T42" s="126"/>
      <c r="U42" s="126"/>
    </row>
    <row r="43" spans="1:21" s="127" customFormat="1" ht="15.75" customHeight="1" thickBot="1" x14ac:dyDescent="0.4">
      <c r="A43" s="193" t="s">
        <v>672</v>
      </c>
      <c r="B43" s="192">
        <f>B42/'1a. Spredningsmodell input'!C18</f>
        <v>1.4999999999999998</v>
      </c>
      <c r="C43" s="122"/>
      <c r="D43" s="123"/>
      <c r="E43" s="123"/>
      <c r="F43" s="123"/>
      <c r="G43" s="124"/>
      <c r="H43" s="124"/>
      <c r="I43" s="124"/>
      <c r="J43" s="124"/>
      <c r="K43" s="124"/>
      <c r="L43" s="124"/>
      <c r="M43" s="124"/>
      <c r="N43" s="124"/>
      <c r="O43" s="124"/>
      <c r="P43" s="124"/>
      <c r="Q43" s="124"/>
      <c r="R43" s="125"/>
      <c r="S43" s="125"/>
      <c r="T43" s="126"/>
      <c r="U43" s="126"/>
    </row>
    <row r="44" spans="1:21" ht="15.75" customHeight="1" x14ac:dyDescent="0.35">
      <c r="A44" s="189" t="s">
        <v>568</v>
      </c>
      <c r="B44" s="190"/>
      <c r="R44" s="11"/>
      <c r="S44" s="11"/>
      <c r="T44" s="12"/>
      <c r="U44" s="12"/>
    </row>
    <row r="45" spans="1:21" s="127" customFormat="1" ht="15.75" customHeight="1" x14ac:dyDescent="0.3">
      <c r="A45" s="191" t="s">
        <v>19</v>
      </c>
      <c r="B45" s="192">
        <f>'1a. Spredningsmodell input'!C29*'1a. Spredningsmodell input'!C30*'1a. Spredningsmodell input'!C17</f>
        <v>12500</v>
      </c>
      <c r="C45" s="122"/>
      <c r="D45" s="123"/>
      <c r="E45" s="123"/>
      <c r="F45" s="123"/>
      <c r="G45" s="124"/>
      <c r="H45" s="124"/>
      <c r="I45" s="124"/>
      <c r="J45" s="124"/>
      <c r="K45" s="124"/>
      <c r="L45" s="124"/>
      <c r="M45" s="124"/>
      <c r="N45" s="124"/>
      <c r="O45" s="124"/>
      <c r="P45" s="124"/>
      <c r="Q45" s="124"/>
      <c r="R45" s="125"/>
      <c r="S45" s="125"/>
      <c r="T45" s="126"/>
      <c r="U45" s="126"/>
    </row>
    <row r="46" spans="1:21" s="127" customFormat="1" ht="15.75" customHeight="1" x14ac:dyDescent="0.35">
      <c r="A46" s="193" t="s">
        <v>673</v>
      </c>
      <c r="B46" s="192">
        <f>'1a. Spredningsmodell input'!C28/'1a. Spredningsmodell input'!C30</f>
        <v>47.3</v>
      </c>
      <c r="C46" s="122"/>
      <c r="D46" s="123"/>
      <c r="E46" s="123"/>
      <c r="F46" s="123"/>
      <c r="G46" s="124"/>
      <c r="H46" s="124"/>
      <c r="I46" s="124"/>
      <c r="J46" s="124"/>
      <c r="K46" s="124"/>
      <c r="L46" s="124"/>
      <c r="M46" s="124"/>
      <c r="N46" s="124"/>
      <c r="O46" s="124"/>
      <c r="P46" s="124"/>
      <c r="Q46" s="124"/>
      <c r="R46" s="125"/>
      <c r="S46" s="125"/>
      <c r="T46" s="126"/>
      <c r="U46" s="126"/>
    </row>
    <row r="47" spans="1:21" s="127" customFormat="1" ht="15.75" customHeight="1" thickBot="1" x14ac:dyDescent="0.35">
      <c r="A47" s="194" t="s">
        <v>667</v>
      </c>
      <c r="B47" s="195">
        <f>'1a. Spredningsmodell input'!C28*'1a. Spredningsmodell input'!C29*'1a. Spredningsmodell input'!C17*'1a. Spredningsmodell input'!C26/(('1a. Spredningsmodell input'!C19*'1a. Spredningsmodell input'!C20/1000)*B41)</f>
        <v>78.833333333333329</v>
      </c>
      <c r="C47" s="122"/>
      <c r="D47" s="123"/>
      <c r="E47" s="123"/>
      <c r="F47" s="123"/>
      <c r="G47" s="124"/>
      <c r="H47" s="124"/>
      <c r="I47" s="124"/>
      <c r="J47" s="124"/>
      <c r="K47" s="124"/>
      <c r="L47" s="124"/>
      <c r="M47" s="124"/>
      <c r="N47" s="124"/>
      <c r="O47" s="124"/>
      <c r="P47" s="124"/>
      <c r="Q47" s="124"/>
      <c r="R47" s="125"/>
      <c r="S47" s="125"/>
      <c r="T47" s="126"/>
      <c r="U47" s="126"/>
    </row>
    <row r="48" spans="1:21" ht="15.75" customHeight="1" x14ac:dyDescent="0.35">
      <c r="A48" s="189" t="s">
        <v>641</v>
      </c>
      <c r="B48" s="190"/>
      <c r="C48" s="88"/>
      <c r="D48" s="96"/>
      <c r="E48" s="96"/>
      <c r="R48" s="11"/>
      <c r="S48" s="11"/>
      <c r="T48" s="12"/>
      <c r="U48" s="12"/>
    </row>
    <row r="49" spans="1:21" s="127" customFormat="1" ht="15.75" customHeight="1" x14ac:dyDescent="0.3">
      <c r="A49" s="191" t="s">
        <v>659</v>
      </c>
      <c r="B49" s="196">
        <f>'1a. Spredningsmodell input'!C29*'1a. Spredningsmodell input'!C28*'1a. Spredningsmodell input'!C17*'1a. Spredningsmodell input'!C26</f>
        <v>236500</v>
      </c>
      <c r="C49" s="128"/>
      <c r="D49" s="123"/>
      <c r="E49" s="129"/>
      <c r="F49" s="123"/>
      <c r="G49" s="124"/>
      <c r="H49" s="124"/>
      <c r="I49" s="124"/>
      <c r="J49" s="124"/>
      <c r="K49" s="124"/>
      <c r="L49" s="124"/>
      <c r="M49" s="124"/>
      <c r="N49" s="124"/>
      <c r="O49" s="124"/>
      <c r="P49" s="124"/>
      <c r="Q49" s="124"/>
      <c r="R49" s="125"/>
      <c r="S49" s="125"/>
      <c r="T49" s="126"/>
      <c r="U49" s="126"/>
    </row>
    <row r="50" spans="1:21" s="127" customFormat="1" ht="15.75" customHeight="1" x14ac:dyDescent="0.3">
      <c r="A50" s="193" t="s">
        <v>658</v>
      </c>
      <c r="B50" s="192">
        <f>B49/'1a. Spredningsmodell input'!C36</f>
        <v>4.7300000000000002E-2</v>
      </c>
      <c r="C50" s="128"/>
      <c r="D50" s="123"/>
      <c r="E50" s="129"/>
      <c r="F50" s="123"/>
      <c r="G50" s="124"/>
      <c r="H50" s="124"/>
      <c r="I50" s="124"/>
      <c r="J50" s="124"/>
      <c r="K50" s="124"/>
      <c r="L50" s="124"/>
      <c r="M50" s="124"/>
      <c r="N50" s="124"/>
      <c r="O50" s="124"/>
      <c r="P50" s="124"/>
      <c r="Q50" s="124"/>
      <c r="R50" s="125"/>
      <c r="S50" s="125"/>
      <c r="T50" s="126"/>
      <c r="U50" s="126"/>
    </row>
    <row r="51" spans="1:21" s="127" customFormat="1" ht="15.75" customHeight="1" thickBot="1" x14ac:dyDescent="0.35">
      <c r="A51" s="197" t="s">
        <v>657</v>
      </c>
      <c r="B51" s="198">
        <f>1/B50</f>
        <v>21.141649048625791</v>
      </c>
      <c r="C51" s="128"/>
      <c r="D51" s="123"/>
      <c r="E51" s="129"/>
      <c r="F51" s="123"/>
      <c r="G51" s="124"/>
      <c r="H51" s="124"/>
      <c r="I51" s="124"/>
      <c r="J51" s="124"/>
      <c r="K51" s="124"/>
      <c r="L51" s="124"/>
      <c r="M51" s="124"/>
      <c r="N51" s="124"/>
      <c r="O51" s="124"/>
      <c r="P51" s="124"/>
      <c r="Q51" s="124"/>
      <c r="R51" s="125"/>
      <c r="S51" s="125"/>
      <c r="T51" s="126"/>
      <c r="U51" s="126"/>
    </row>
    <row r="52" spans="1:21" x14ac:dyDescent="0.35">
      <c r="R52" s="11"/>
      <c r="S52" s="11"/>
      <c r="T52" s="12"/>
      <c r="U52" s="12"/>
    </row>
    <row r="53" spans="1:21" x14ac:dyDescent="0.35">
      <c r="R53" s="11"/>
      <c r="S53" s="11"/>
      <c r="T53" s="12"/>
      <c r="U53" s="12"/>
    </row>
    <row r="54" spans="1:21" x14ac:dyDescent="0.35">
      <c r="R54" s="11"/>
      <c r="S54" s="11"/>
      <c r="T54" s="12"/>
      <c r="U54" s="12"/>
    </row>
    <row r="55" spans="1:21" x14ac:dyDescent="0.35">
      <c r="R55" s="11"/>
      <c r="S55" s="11"/>
      <c r="T55" s="12"/>
      <c r="U55" s="12"/>
    </row>
    <row r="56" spans="1:21" x14ac:dyDescent="0.35">
      <c r="R56" s="11"/>
      <c r="S56" s="11"/>
      <c r="T56" s="12"/>
      <c r="U56" s="12"/>
    </row>
    <row r="57" spans="1:21" x14ac:dyDescent="0.35">
      <c r="R57" s="11"/>
      <c r="S57" s="11"/>
      <c r="T57" s="12"/>
      <c r="U57" s="12"/>
    </row>
    <row r="58" spans="1:21" x14ac:dyDescent="0.35">
      <c r="R58" s="11"/>
      <c r="S58" s="11"/>
      <c r="T58" s="12"/>
      <c r="U58" s="12"/>
    </row>
    <row r="59" spans="1:21" x14ac:dyDescent="0.35">
      <c r="R59" s="11"/>
      <c r="S59" s="11"/>
      <c r="T59" s="12"/>
      <c r="U59" s="12"/>
    </row>
    <row r="60" spans="1:21" x14ac:dyDescent="0.35">
      <c r="R60" s="11"/>
      <c r="S60" s="11"/>
      <c r="T60" s="12"/>
      <c r="U60" s="12"/>
    </row>
    <row r="61" spans="1:21" x14ac:dyDescent="0.35">
      <c r="R61" s="11"/>
      <c r="S61" s="11"/>
      <c r="T61" s="12"/>
      <c r="U61" s="12"/>
    </row>
    <row r="62" spans="1:21" x14ac:dyDescent="0.35">
      <c r="R62" s="11"/>
      <c r="S62" s="11"/>
      <c r="T62" s="12"/>
      <c r="U62" s="12"/>
    </row>
    <row r="63" spans="1:21" x14ac:dyDescent="0.35">
      <c r="R63" s="11"/>
      <c r="S63" s="11"/>
      <c r="T63" s="12"/>
      <c r="U63" s="12"/>
    </row>
    <row r="64" spans="1:21" x14ac:dyDescent="0.35">
      <c r="R64" s="11"/>
      <c r="S64" s="11"/>
      <c r="T64" s="12"/>
      <c r="U64" s="12"/>
    </row>
    <row r="65" spans="18:21" x14ac:dyDescent="0.35">
      <c r="R65" s="11"/>
      <c r="S65" s="11"/>
      <c r="T65" s="12"/>
      <c r="U65" s="12"/>
    </row>
    <row r="66" spans="18:21" x14ac:dyDescent="0.35">
      <c r="R66" s="11"/>
      <c r="S66" s="11"/>
      <c r="T66" s="12"/>
      <c r="U66" s="12"/>
    </row>
    <row r="67" spans="18:21" x14ac:dyDescent="0.35">
      <c r="R67" s="11"/>
      <c r="S67" s="11"/>
      <c r="T67" s="12"/>
      <c r="U67" s="12"/>
    </row>
    <row r="68" spans="18:21" x14ac:dyDescent="0.35">
      <c r="R68" s="11"/>
      <c r="S68" s="11"/>
      <c r="T68" s="12"/>
      <c r="U68" s="12"/>
    </row>
    <row r="69" spans="18:21" x14ac:dyDescent="0.35">
      <c r="R69" s="11"/>
      <c r="S69" s="11"/>
      <c r="T69" s="12"/>
      <c r="U69" s="12"/>
    </row>
    <row r="70" spans="18:21" x14ac:dyDescent="0.35">
      <c r="R70" s="11"/>
      <c r="S70" s="11"/>
      <c r="T70" s="12"/>
      <c r="U70" s="12"/>
    </row>
    <row r="71" spans="18:21" x14ac:dyDescent="0.35">
      <c r="R71" s="11"/>
      <c r="S71" s="11"/>
      <c r="T71" s="12"/>
      <c r="U71" s="12"/>
    </row>
    <row r="72" spans="18:21" x14ac:dyDescent="0.35">
      <c r="R72" s="11"/>
      <c r="S72" s="11"/>
      <c r="T72" s="12"/>
      <c r="U72" s="12"/>
    </row>
    <row r="73" spans="18:21" x14ac:dyDescent="0.35">
      <c r="R73" s="11"/>
      <c r="S73" s="11"/>
      <c r="T73" s="12"/>
      <c r="U73" s="12"/>
    </row>
    <row r="74" spans="18:21" x14ac:dyDescent="0.35">
      <c r="R74" s="11"/>
      <c r="S74" s="11"/>
      <c r="T74" s="12"/>
      <c r="U74" s="12"/>
    </row>
    <row r="75" spans="18:21" x14ac:dyDescent="0.35">
      <c r="R75" s="11"/>
      <c r="S75" s="11"/>
      <c r="T75" s="12"/>
      <c r="U75" s="12"/>
    </row>
    <row r="76" spans="18:21" x14ac:dyDescent="0.35">
      <c r="R76" s="11"/>
      <c r="S76" s="11"/>
      <c r="T76" s="12"/>
      <c r="U76" s="12"/>
    </row>
    <row r="77" spans="18:21" x14ac:dyDescent="0.35">
      <c r="R77" s="11"/>
      <c r="S77" s="11"/>
      <c r="T77" s="12"/>
      <c r="U77" s="12"/>
    </row>
    <row r="78" spans="18:21" x14ac:dyDescent="0.35">
      <c r="R78" s="11"/>
      <c r="S78" s="11"/>
      <c r="T78" s="12"/>
      <c r="U78" s="12"/>
    </row>
    <row r="79" spans="18:21" x14ac:dyDescent="0.35">
      <c r="R79" s="11"/>
      <c r="S79" s="11"/>
      <c r="T79" s="12"/>
      <c r="U79" s="12"/>
    </row>
    <row r="80" spans="18:21" x14ac:dyDescent="0.35">
      <c r="R80" s="11"/>
      <c r="S80" s="11"/>
      <c r="T80" s="12"/>
      <c r="U80" s="12"/>
    </row>
    <row r="81" spans="18:21" x14ac:dyDescent="0.35">
      <c r="R81" s="11"/>
      <c r="S81" s="11"/>
      <c r="T81" s="12"/>
      <c r="U81" s="12"/>
    </row>
    <row r="82" spans="18:21" x14ac:dyDescent="0.35">
      <c r="R82" s="11"/>
      <c r="S82" s="11"/>
      <c r="T82" s="12"/>
      <c r="U82" s="12"/>
    </row>
    <row r="83" spans="18:21" x14ac:dyDescent="0.35">
      <c r="R83" s="11"/>
      <c r="S83" s="11"/>
      <c r="T83" s="12"/>
      <c r="U83" s="12"/>
    </row>
    <row r="84" spans="18:21" x14ac:dyDescent="0.35">
      <c r="R84" s="11"/>
      <c r="S84" s="11"/>
      <c r="T84" s="12"/>
      <c r="U84" s="12"/>
    </row>
    <row r="85" spans="18:21" x14ac:dyDescent="0.35">
      <c r="R85" s="11"/>
      <c r="S85" s="11"/>
      <c r="T85" s="12"/>
      <c r="U85" s="12"/>
    </row>
    <row r="86" spans="18:21" x14ac:dyDescent="0.35">
      <c r="R86" s="11"/>
      <c r="S86" s="11"/>
      <c r="T86" s="12"/>
      <c r="U86" s="12"/>
    </row>
    <row r="87" spans="18:21" x14ac:dyDescent="0.35">
      <c r="R87" s="11"/>
      <c r="S87" s="11"/>
      <c r="T87" s="12"/>
      <c r="U87" s="12"/>
    </row>
    <row r="88" spans="18:21" x14ac:dyDescent="0.35">
      <c r="R88" s="11"/>
      <c r="S88" s="11"/>
      <c r="T88" s="12"/>
      <c r="U88" s="12"/>
    </row>
    <row r="89" spans="18:21" x14ac:dyDescent="0.35">
      <c r="R89" s="11"/>
      <c r="S89" s="11"/>
      <c r="T89" s="12"/>
      <c r="U89" s="12"/>
    </row>
    <row r="90" spans="18:21" x14ac:dyDescent="0.35">
      <c r="R90" s="11"/>
      <c r="S90" s="11"/>
      <c r="T90" s="12"/>
      <c r="U90" s="12"/>
    </row>
    <row r="91" spans="18:21" x14ac:dyDescent="0.35">
      <c r="R91" s="11"/>
      <c r="S91" s="11"/>
      <c r="T91" s="12"/>
      <c r="U91" s="12"/>
    </row>
    <row r="92" spans="18:21" x14ac:dyDescent="0.35">
      <c r="R92" s="11"/>
      <c r="S92" s="11"/>
      <c r="T92" s="12"/>
      <c r="U92" s="12"/>
    </row>
    <row r="93" spans="18:21" x14ac:dyDescent="0.35">
      <c r="R93" s="11"/>
      <c r="S93" s="11"/>
      <c r="T93" s="12"/>
      <c r="U93" s="12"/>
    </row>
    <row r="94" spans="18:21" x14ac:dyDescent="0.35">
      <c r="R94" s="11"/>
      <c r="S94" s="11"/>
      <c r="T94" s="12"/>
      <c r="U94" s="12"/>
    </row>
    <row r="95" spans="18:21" x14ac:dyDescent="0.35">
      <c r="R95" s="11"/>
      <c r="S95" s="11"/>
      <c r="T95" s="12"/>
      <c r="U95" s="12"/>
    </row>
    <row r="96" spans="18:21" x14ac:dyDescent="0.35">
      <c r="R96" s="11"/>
      <c r="S96" s="11"/>
      <c r="T96" s="12"/>
      <c r="U96" s="12"/>
    </row>
    <row r="97" spans="18:21" x14ac:dyDescent="0.35">
      <c r="R97" s="11"/>
      <c r="S97" s="11"/>
      <c r="T97" s="12"/>
      <c r="U97" s="12"/>
    </row>
    <row r="98" spans="18:21" x14ac:dyDescent="0.35">
      <c r="R98" s="11"/>
      <c r="S98" s="11"/>
      <c r="T98" s="12"/>
      <c r="U98" s="12"/>
    </row>
    <row r="99" spans="18:21" x14ac:dyDescent="0.35">
      <c r="R99" s="11"/>
      <c r="S99" s="11"/>
      <c r="T99" s="12"/>
      <c r="U99" s="12"/>
    </row>
    <row r="100" spans="18:21" x14ac:dyDescent="0.35">
      <c r="R100" s="11"/>
      <c r="S100" s="11"/>
      <c r="T100" s="12"/>
      <c r="U100" s="12"/>
    </row>
    <row r="101" spans="18:21" x14ac:dyDescent="0.35">
      <c r="R101" s="11"/>
      <c r="S101" s="11"/>
      <c r="T101" s="12"/>
      <c r="U101" s="12"/>
    </row>
    <row r="102" spans="18:21" x14ac:dyDescent="0.35">
      <c r="R102" s="11"/>
      <c r="S102" s="11"/>
      <c r="T102" s="12"/>
      <c r="U102" s="12"/>
    </row>
    <row r="103" spans="18:21" x14ac:dyDescent="0.35">
      <c r="R103" s="11"/>
      <c r="S103" s="11"/>
      <c r="T103" s="12"/>
      <c r="U103" s="12"/>
    </row>
    <row r="104" spans="18:21" x14ac:dyDescent="0.35">
      <c r="R104" s="11"/>
      <c r="S104" s="11"/>
      <c r="T104" s="12"/>
      <c r="U104" s="12"/>
    </row>
    <row r="105" spans="18:21" x14ac:dyDescent="0.35">
      <c r="R105" s="11"/>
      <c r="S105" s="11"/>
      <c r="T105" s="12"/>
      <c r="U105" s="12"/>
    </row>
    <row r="106" spans="18:21" x14ac:dyDescent="0.35">
      <c r="R106" s="11"/>
      <c r="S106" s="11"/>
      <c r="T106" s="12"/>
      <c r="U106" s="12"/>
    </row>
    <row r="107" spans="18:21" x14ac:dyDescent="0.35">
      <c r="R107" s="11"/>
      <c r="S107" s="11"/>
      <c r="T107" s="12"/>
      <c r="U107" s="12"/>
    </row>
    <row r="108" spans="18:21" x14ac:dyDescent="0.35">
      <c r="R108" s="11"/>
      <c r="S108" s="11"/>
      <c r="T108" s="12"/>
      <c r="U108" s="12"/>
    </row>
    <row r="109" spans="18:21" x14ac:dyDescent="0.35">
      <c r="R109" s="11"/>
      <c r="S109" s="11"/>
      <c r="T109" s="12"/>
      <c r="U109" s="12"/>
    </row>
    <row r="110" spans="18:21" x14ac:dyDescent="0.35">
      <c r="R110" s="11"/>
      <c r="S110" s="11"/>
      <c r="T110" s="12"/>
      <c r="U110" s="12"/>
    </row>
    <row r="111" spans="18:21" x14ac:dyDescent="0.35">
      <c r="R111" s="11"/>
      <c r="S111" s="11"/>
      <c r="T111" s="12"/>
      <c r="U111" s="12"/>
    </row>
    <row r="112" spans="18:21" x14ac:dyDescent="0.35">
      <c r="R112" s="11"/>
      <c r="S112" s="11"/>
      <c r="T112" s="12"/>
      <c r="U112" s="12"/>
    </row>
    <row r="113" spans="18:21" x14ac:dyDescent="0.35">
      <c r="R113" s="11"/>
      <c r="S113" s="11"/>
      <c r="T113" s="12"/>
      <c r="U113" s="12"/>
    </row>
    <row r="114" spans="18:21" x14ac:dyDescent="0.35">
      <c r="R114" s="11"/>
      <c r="S114" s="11"/>
      <c r="T114" s="12"/>
      <c r="U114" s="12"/>
    </row>
    <row r="115" spans="18:21" x14ac:dyDescent="0.35">
      <c r="R115" s="11"/>
      <c r="S115" s="11"/>
      <c r="T115" s="12"/>
      <c r="U115" s="12"/>
    </row>
    <row r="116" spans="18:21" x14ac:dyDescent="0.35">
      <c r="R116" s="11"/>
      <c r="S116" s="11"/>
      <c r="T116" s="12"/>
      <c r="U116" s="12"/>
    </row>
    <row r="117" spans="18:21" x14ac:dyDescent="0.35">
      <c r="T117" s="12"/>
    </row>
  </sheetData>
  <sheetProtection sheet="1" objects="1" scenarios="1" selectLockedCells="1"/>
  <mergeCells count="20">
    <mergeCell ref="D19:F19"/>
    <mergeCell ref="D20:F20"/>
    <mergeCell ref="D34:F34"/>
    <mergeCell ref="D24:F24"/>
    <mergeCell ref="D25:F25"/>
    <mergeCell ref="D26:F26"/>
    <mergeCell ref="D36:F36"/>
    <mergeCell ref="D29:F29"/>
    <mergeCell ref="D30:F30"/>
    <mergeCell ref="D28:F28"/>
    <mergeCell ref="D35:F35"/>
    <mergeCell ref="D12:F12"/>
    <mergeCell ref="D13:F13"/>
    <mergeCell ref="D18:F18"/>
    <mergeCell ref="R5:S5"/>
    <mergeCell ref="D2:F2"/>
    <mergeCell ref="D11:F11"/>
    <mergeCell ref="D14:F14"/>
    <mergeCell ref="D16:F16"/>
    <mergeCell ref="D17:F17"/>
  </mergeCells>
  <conditionalFormatting sqref="D16:D20 D11:D14 D24:D26 D29:D30 D36">
    <cfRule type="expression" dxfId="81" priority="15">
      <formula>IF(C11=B11,0,1)</formula>
    </cfRule>
  </conditionalFormatting>
  <conditionalFormatting sqref="D28">
    <cfRule type="expression" dxfId="80" priority="11">
      <formula>IF(C28=B28,0,1)</formula>
    </cfRule>
  </conditionalFormatting>
  <conditionalFormatting sqref="B11:B14 B16:B20">
    <cfRule type="expression" dxfId="79" priority="19" stopIfTrue="1">
      <formula>#REF!=#REF!</formula>
    </cfRule>
  </conditionalFormatting>
  <conditionalFormatting sqref="B28:B30 B24:B26">
    <cfRule type="expression" dxfId="78" priority="13" stopIfTrue="1">
      <formula>#REF!=#REF!</formula>
    </cfRule>
  </conditionalFormatting>
  <conditionalFormatting sqref="B34:B36">
    <cfRule type="expression" dxfId="77" priority="8" stopIfTrue="1">
      <formula>#REF!=#REF!</formula>
    </cfRule>
  </conditionalFormatting>
  <conditionalFormatting sqref="B41:B43">
    <cfRule type="expression" dxfId="76" priority="4" stopIfTrue="1">
      <formula>#REF!=#REF!</formula>
    </cfRule>
  </conditionalFormatting>
  <conditionalFormatting sqref="B45:B47">
    <cfRule type="expression" dxfId="75" priority="3" stopIfTrue="1">
      <formula>#REF!=#REF!</formula>
    </cfRule>
  </conditionalFormatting>
  <conditionalFormatting sqref="B49:B51">
    <cfRule type="expression" dxfId="74" priority="2" stopIfTrue="1">
      <formula>#REF!=#REF!</formula>
    </cfRule>
  </conditionalFormatting>
  <conditionalFormatting sqref="D34">
    <cfRule type="expression" dxfId="73" priority="2697">
      <formula>IF(C35=B35,0,1)</formula>
    </cfRule>
  </conditionalFormatting>
  <conditionalFormatting sqref="D35">
    <cfRule type="expression" dxfId="72" priority="1">
      <formula>IF(C36=B36,0,1)</formula>
    </cfRule>
  </conditionalFormatting>
  <pageMargins left="0.27559055118110237" right="0.27559055118110237" top="0.98425196850393704" bottom="0.98425196850393704" header="0.51181102362204722" footer="0.51181102362204722"/>
  <pageSetup paperSize="9" scale="5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2"/>
  </sheetPr>
  <dimension ref="A1:IV114"/>
  <sheetViews>
    <sheetView workbookViewId="0">
      <selection activeCell="G4" sqref="G4"/>
    </sheetView>
  </sheetViews>
  <sheetFormatPr baseColWidth="10" defaultColWidth="11.453125" defaultRowHeight="14.5" x14ac:dyDescent="0.35"/>
  <cols>
    <col min="1" max="1" width="2.81640625" style="64" customWidth="1"/>
    <col min="2" max="2" width="48.7265625" style="65" customWidth="1"/>
    <col min="3" max="3" width="7" style="57" customWidth="1"/>
    <col min="4" max="4" width="9.7265625" style="57" customWidth="1"/>
    <col min="5" max="5" width="12.26953125" style="57" customWidth="1"/>
    <col min="6" max="6" width="16.26953125" style="57" customWidth="1"/>
    <col min="7" max="7" width="9.54296875" style="55" customWidth="1"/>
    <col min="8" max="15" width="9.54296875" style="57" customWidth="1"/>
    <col min="16" max="18" width="10" style="57" customWidth="1"/>
    <col min="19" max="137" width="9.1796875" style="57" customWidth="1"/>
    <col min="138" max="256" width="11.453125" style="64"/>
  </cols>
  <sheetData>
    <row r="1" spans="1:247" ht="15" customHeight="1" x14ac:dyDescent="0.35">
      <c r="B1" s="78"/>
      <c r="C1" s="379" t="s">
        <v>488</v>
      </c>
      <c r="D1" s="379"/>
      <c r="E1" s="379"/>
      <c r="F1" s="380" t="s">
        <v>465</v>
      </c>
      <c r="G1" s="382" t="s">
        <v>765</v>
      </c>
      <c r="H1" s="383"/>
      <c r="I1" s="383"/>
      <c r="J1" s="383"/>
      <c r="K1" s="383"/>
      <c r="L1" s="384"/>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row>
    <row r="2" spans="1:247" x14ac:dyDescent="0.35">
      <c r="A2" s="64" t="s">
        <v>137</v>
      </c>
      <c r="B2" s="388" t="s">
        <v>211</v>
      </c>
      <c r="C2" s="379"/>
      <c r="D2" s="379"/>
      <c r="E2" s="379"/>
      <c r="F2" s="381"/>
      <c r="G2" s="385"/>
      <c r="H2" s="386"/>
      <c r="I2" s="386"/>
      <c r="J2" s="386"/>
      <c r="K2" s="386"/>
      <c r="L2" s="387"/>
      <c r="M2" s="77"/>
      <c r="N2" s="77"/>
      <c r="O2" s="77"/>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row>
    <row r="3" spans="1:247" ht="55.5" x14ac:dyDescent="0.35">
      <c r="A3" s="65" t="s">
        <v>137</v>
      </c>
      <c r="B3" s="388"/>
      <c r="C3" s="74" t="s">
        <v>464</v>
      </c>
      <c r="D3" s="74" t="s">
        <v>484</v>
      </c>
      <c r="E3" s="74" t="s">
        <v>485</v>
      </c>
      <c r="F3" s="74" t="s">
        <v>486</v>
      </c>
      <c r="G3" s="73" t="s">
        <v>463</v>
      </c>
      <c r="H3" s="73" t="s">
        <v>462</v>
      </c>
      <c r="I3" s="73" t="s">
        <v>461</v>
      </c>
      <c r="J3" s="73" t="s">
        <v>460</v>
      </c>
      <c r="K3" s="73" t="s">
        <v>459</v>
      </c>
      <c r="L3" s="73" t="s">
        <v>458</v>
      </c>
      <c r="M3" s="73" t="s">
        <v>457</v>
      </c>
      <c r="N3" s="73" t="s">
        <v>456</v>
      </c>
      <c r="O3" s="73" t="s">
        <v>455</v>
      </c>
      <c r="P3" s="73" t="s">
        <v>454</v>
      </c>
      <c r="Q3" s="73" t="s">
        <v>453</v>
      </c>
      <c r="R3" s="73" t="s">
        <v>452</v>
      </c>
      <c r="S3" s="73" t="s">
        <v>451</v>
      </c>
      <c r="T3" s="73" t="s">
        <v>450</v>
      </c>
      <c r="U3" s="73" t="s">
        <v>449</v>
      </c>
      <c r="V3" s="73" t="s">
        <v>448</v>
      </c>
      <c r="W3" s="73" t="s">
        <v>447</v>
      </c>
      <c r="X3" s="73" t="s">
        <v>446</v>
      </c>
      <c r="Y3" s="73" t="s">
        <v>445</v>
      </c>
      <c r="Z3" s="73" t="s">
        <v>444</v>
      </c>
      <c r="AA3" s="73" t="s">
        <v>443</v>
      </c>
      <c r="AB3" s="73" t="s">
        <v>442</v>
      </c>
      <c r="AC3" s="73" t="s">
        <v>441</v>
      </c>
      <c r="AD3" s="73" t="s">
        <v>440</v>
      </c>
      <c r="AE3" s="73" t="s">
        <v>439</v>
      </c>
      <c r="AF3" s="73" t="s">
        <v>438</v>
      </c>
      <c r="AG3" s="73" t="s">
        <v>437</v>
      </c>
      <c r="AH3" s="73" t="s">
        <v>436</v>
      </c>
      <c r="AI3" s="73" t="s">
        <v>435</v>
      </c>
      <c r="AJ3" s="73" t="s">
        <v>434</v>
      </c>
      <c r="AK3" s="73" t="s">
        <v>433</v>
      </c>
      <c r="AL3" s="73" t="s">
        <v>432</v>
      </c>
      <c r="AM3" s="73" t="s">
        <v>431</v>
      </c>
      <c r="AN3" s="73" t="s">
        <v>430</v>
      </c>
      <c r="AO3" s="73" t="s">
        <v>429</v>
      </c>
      <c r="AP3" s="73" t="s">
        <v>428</v>
      </c>
      <c r="AQ3" s="73" t="s">
        <v>427</v>
      </c>
      <c r="AR3" s="73" t="s">
        <v>426</v>
      </c>
      <c r="AS3" s="73" t="s">
        <v>425</v>
      </c>
      <c r="AT3" s="73" t="s">
        <v>424</v>
      </c>
      <c r="AU3" s="73" t="s">
        <v>423</v>
      </c>
      <c r="AV3" s="73" t="s">
        <v>422</v>
      </c>
      <c r="AW3" s="73" t="s">
        <v>421</v>
      </c>
      <c r="AX3" s="73" t="s">
        <v>420</v>
      </c>
      <c r="AY3" s="73" t="s">
        <v>419</v>
      </c>
      <c r="AZ3" s="73" t="s">
        <v>418</v>
      </c>
      <c r="BA3" s="73" t="s">
        <v>417</v>
      </c>
      <c r="BB3" s="73" t="s">
        <v>416</v>
      </c>
      <c r="BC3" s="73" t="s">
        <v>415</v>
      </c>
      <c r="BD3" s="73" t="s">
        <v>414</v>
      </c>
      <c r="BE3" s="73" t="s">
        <v>413</v>
      </c>
      <c r="BF3" s="73" t="s">
        <v>412</v>
      </c>
      <c r="BG3" s="73" t="s">
        <v>411</v>
      </c>
      <c r="BH3" s="73" t="s">
        <v>410</v>
      </c>
      <c r="BI3" s="73" t="s">
        <v>409</v>
      </c>
      <c r="BJ3" s="73" t="s">
        <v>408</v>
      </c>
      <c r="BK3" s="73" t="s">
        <v>407</v>
      </c>
      <c r="BL3" s="73" t="s">
        <v>406</v>
      </c>
      <c r="BM3" s="73" t="s">
        <v>405</v>
      </c>
      <c r="BN3" s="73" t="s">
        <v>404</v>
      </c>
      <c r="BO3" s="73" t="s">
        <v>403</v>
      </c>
      <c r="BP3" s="73" t="s">
        <v>402</v>
      </c>
      <c r="BQ3" s="73" t="s">
        <v>401</v>
      </c>
      <c r="BR3" s="73" t="s">
        <v>400</v>
      </c>
      <c r="BS3" s="73" t="s">
        <v>399</v>
      </c>
      <c r="BT3" s="73" t="s">
        <v>398</v>
      </c>
      <c r="BU3" s="73" t="s">
        <v>397</v>
      </c>
      <c r="BV3" s="73" t="s">
        <v>396</v>
      </c>
      <c r="BW3" s="73" t="s">
        <v>395</v>
      </c>
      <c r="BX3" s="73" t="s">
        <v>394</v>
      </c>
      <c r="BY3" s="73" t="s">
        <v>393</v>
      </c>
      <c r="BZ3" s="73" t="s">
        <v>392</v>
      </c>
      <c r="CA3" s="73" t="s">
        <v>391</v>
      </c>
      <c r="CB3" s="73" t="s">
        <v>390</v>
      </c>
      <c r="CC3" s="73" t="s">
        <v>389</v>
      </c>
      <c r="CD3" s="73" t="s">
        <v>388</v>
      </c>
      <c r="CE3" s="73" t="s">
        <v>387</v>
      </c>
      <c r="CF3" s="73" t="s">
        <v>386</v>
      </c>
      <c r="CG3" s="73" t="s">
        <v>385</v>
      </c>
      <c r="CH3" s="73" t="s">
        <v>384</v>
      </c>
      <c r="CI3" s="73" t="s">
        <v>383</v>
      </c>
      <c r="CJ3" s="73" t="s">
        <v>382</v>
      </c>
      <c r="CK3" s="73" t="s">
        <v>381</v>
      </c>
      <c r="CL3" s="73" t="s">
        <v>380</v>
      </c>
      <c r="CM3" s="73" t="s">
        <v>379</v>
      </c>
      <c r="CN3" s="73" t="s">
        <v>378</v>
      </c>
      <c r="CO3" s="73" t="s">
        <v>377</v>
      </c>
      <c r="CP3" s="73" t="s">
        <v>376</v>
      </c>
      <c r="CQ3" s="73" t="s">
        <v>375</v>
      </c>
      <c r="CR3" s="73" t="s">
        <v>374</v>
      </c>
      <c r="CS3" s="73" t="s">
        <v>373</v>
      </c>
      <c r="CT3" s="73" t="s">
        <v>372</v>
      </c>
      <c r="CU3" s="73" t="s">
        <v>371</v>
      </c>
      <c r="CV3" s="73" t="s">
        <v>370</v>
      </c>
      <c r="CW3" s="73" t="s">
        <v>369</v>
      </c>
      <c r="CX3" s="73" t="s">
        <v>368</v>
      </c>
      <c r="CY3" s="73" t="s">
        <v>367</v>
      </c>
      <c r="CZ3" s="73" t="s">
        <v>366</v>
      </c>
      <c r="DA3" s="73" t="s">
        <v>365</v>
      </c>
      <c r="DB3" s="73" t="s">
        <v>364</v>
      </c>
      <c r="DC3" s="73" t="s">
        <v>363</v>
      </c>
      <c r="DD3" s="73" t="s">
        <v>362</v>
      </c>
      <c r="DE3" s="73" t="s">
        <v>361</v>
      </c>
      <c r="DF3" s="73" t="s">
        <v>360</v>
      </c>
      <c r="DG3" s="73" t="s">
        <v>359</v>
      </c>
      <c r="DH3" s="73" t="s">
        <v>358</v>
      </c>
      <c r="DI3" s="73" t="s">
        <v>357</v>
      </c>
      <c r="DJ3" s="73" t="s">
        <v>356</v>
      </c>
      <c r="DK3" s="73" t="s">
        <v>355</v>
      </c>
      <c r="DL3" s="73" t="s">
        <v>354</v>
      </c>
      <c r="DM3" s="73" t="s">
        <v>353</v>
      </c>
      <c r="DN3" s="73" t="s">
        <v>352</v>
      </c>
      <c r="DO3" s="73" t="s">
        <v>351</v>
      </c>
      <c r="DP3" s="73" t="s">
        <v>350</v>
      </c>
      <c r="DQ3" s="73" t="s">
        <v>349</v>
      </c>
      <c r="DR3" s="73" t="s">
        <v>348</v>
      </c>
      <c r="DS3" s="73" t="s">
        <v>347</v>
      </c>
      <c r="DT3" s="73" t="s">
        <v>346</v>
      </c>
      <c r="DU3" s="73" t="s">
        <v>345</v>
      </c>
      <c r="DV3" s="73" t="s">
        <v>344</v>
      </c>
      <c r="DW3" s="73" t="s">
        <v>343</v>
      </c>
      <c r="DX3" s="73" t="s">
        <v>342</v>
      </c>
      <c r="DY3" s="73" t="s">
        <v>341</v>
      </c>
      <c r="DZ3" s="73" t="s">
        <v>340</v>
      </c>
      <c r="EA3" s="73" t="s">
        <v>339</v>
      </c>
      <c r="EB3" s="73" t="s">
        <v>338</v>
      </c>
      <c r="EC3" s="73" t="s">
        <v>337</v>
      </c>
      <c r="ED3" s="73" t="s">
        <v>336</v>
      </c>
      <c r="EE3" s="73" t="s">
        <v>335</v>
      </c>
      <c r="EF3" s="73" t="s">
        <v>334</v>
      </c>
      <c r="EG3" s="73" t="s">
        <v>333</v>
      </c>
      <c r="EH3" s="73" t="s">
        <v>332</v>
      </c>
      <c r="EI3" s="73" t="s">
        <v>331</v>
      </c>
      <c r="EJ3" s="73" t="s">
        <v>330</v>
      </c>
      <c r="EK3" s="73" t="s">
        <v>329</v>
      </c>
      <c r="EL3" s="73" t="s">
        <v>328</v>
      </c>
      <c r="EM3" s="73" t="s">
        <v>327</v>
      </c>
      <c r="EN3" s="73" t="s">
        <v>326</v>
      </c>
      <c r="EO3" s="73" t="s">
        <v>325</v>
      </c>
      <c r="EP3" s="73" t="s">
        <v>324</v>
      </c>
      <c r="EQ3" s="73" t="s">
        <v>323</v>
      </c>
      <c r="ER3" s="73" t="s">
        <v>322</v>
      </c>
      <c r="ES3" s="73" t="s">
        <v>321</v>
      </c>
      <c r="ET3" s="73" t="s">
        <v>320</v>
      </c>
      <c r="EU3" s="73" t="s">
        <v>319</v>
      </c>
      <c r="EV3" s="73" t="s">
        <v>318</v>
      </c>
      <c r="EW3" s="73" t="s">
        <v>317</v>
      </c>
      <c r="EX3" s="73" t="s">
        <v>316</v>
      </c>
      <c r="EY3" s="73" t="s">
        <v>315</v>
      </c>
      <c r="EZ3" s="73" t="s">
        <v>314</v>
      </c>
      <c r="FA3" s="73" t="s">
        <v>313</v>
      </c>
      <c r="FB3" s="73" t="s">
        <v>312</v>
      </c>
      <c r="FC3" s="73" t="s">
        <v>311</v>
      </c>
      <c r="FD3" s="73" t="s">
        <v>310</v>
      </c>
      <c r="FE3" s="73" t="s">
        <v>309</v>
      </c>
      <c r="FF3" s="73" t="s">
        <v>308</v>
      </c>
      <c r="FG3" s="73" t="s">
        <v>307</v>
      </c>
      <c r="FH3" s="73" t="s">
        <v>306</v>
      </c>
      <c r="FI3" s="73" t="s">
        <v>305</v>
      </c>
      <c r="FJ3" s="73" t="s">
        <v>304</v>
      </c>
      <c r="FK3" s="73" t="s">
        <v>303</v>
      </c>
      <c r="FL3" s="73" t="s">
        <v>302</v>
      </c>
      <c r="FM3" s="73" t="s">
        <v>301</v>
      </c>
      <c r="FN3" s="73" t="s">
        <v>300</v>
      </c>
      <c r="FO3" s="73" t="s">
        <v>299</v>
      </c>
      <c r="FP3" s="73" t="s">
        <v>298</v>
      </c>
      <c r="FQ3" s="73" t="s">
        <v>297</v>
      </c>
      <c r="FR3" s="73" t="s">
        <v>296</v>
      </c>
      <c r="FS3" s="73" t="s">
        <v>295</v>
      </c>
      <c r="FT3" s="73" t="s">
        <v>294</v>
      </c>
      <c r="FU3" s="73" t="s">
        <v>293</v>
      </c>
      <c r="FV3" s="73" t="s">
        <v>292</v>
      </c>
      <c r="FW3" s="73" t="s">
        <v>291</v>
      </c>
      <c r="FX3" s="73" t="s">
        <v>290</v>
      </c>
      <c r="FY3" s="73" t="s">
        <v>289</v>
      </c>
      <c r="FZ3" s="73" t="s">
        <v>288</v>
      </c>
      <c r="GA3" s="73" t="s">
        <v>287</v>
      </c>
      <c r="GB3" s="73" t="s">
        <v>286</v>
      </c>
      <c r="GC3" s="73" t="s">
        <v>285</v>
      </c>
      <c r="GD3" s="73" t="s">
        <v>284</v>
      </c>
      <c r="GE3" s="73" t="s">
        <v>283</v>
      </c>
      <c r="GF3" s="73" t="s">
        <v>282</v>
      </c>
      <c r="GG3" s="73" t="s">
        <v>281</v>
      </c>
      <c r="GH3" s="73" t="s">
        <v>280</v>
      </c>
      <c r="GI3" s="73" t="s">
        <v>279</v>
      </c>
      <c r="GJ3" s="73" t="s">
        <v>278</v>
      </c>
      <c r="GK3" s="73" t="s">
        <v>277</v>
      </c>
      <c r="GL3" s="73" t="s">
        <v>276</v>
      </c>
      <c r="GM3" s="73" t="s">
        <v>275</v>
      </c>
      <c r="GN3" s="73" t="s">
        <v>274</v>
      </c>
      <c r="GO3" s="73" t="s">
        <v>273</v>
      </c>
      <c r="GP3" s="73" t="s">
        <v>272</v>
      </c>
      <c r="GQ3" s="73" t="s">
        <v>271</v>
      </c>
      <c r="GR3" s="73" t="s">
        <v>270</v>
      </c>
      <c r="GS3" s="73" t="s">
        <v>269</v>
      </c>
      <c r="GT3" s="73" t="s">
        <v>268</v>
      </c>
      <c r="GU3" s="73" t="s">
        <v>267</v>
      </c>
      <c r="GV3" s="73" t="s">
        <v>266</v>
      </c>
      <c r="GW3" s="73" t="s">
        <v>265</v>
      </c>
      <c r="GX3" s="73" t="s">
        <v>264</v>
      </c>
      <c r="GY3" s="73" t="s">
        <v>263</v>
      </c>
      <c r="GZ3" s="73" t="s">
        <v>262</v>
      </c>
      <c r="HA3" s="73" t="s">
        <v>261</v>
      </c>
      <c r="HB3" s="73" t="s">
        <v>260</v>
      </c>
      <c r="HC3" s="73" t="s">
        <v>259</v>
      </c>
      <c r="HD3" s="73" t="s">
        <v>258</v>
      </c>
      <c r="HE3" s="73" t="s">
        <v>257</v>
      </c>
      <c r="HF3" s="73" t="s">
        <v>256</v>
      </c>
      <c r="HG3" s="73" t="s">
        <v>255</v>
      </c>
      <c r="HH3" s="73" t="s">
        <v>254</v>
      </c>
      <c r="HI3" s="73" t="s">
        <v>253</v>
      </c>
      <c r="HJ3" s="73" t="s">
        <v>252</v>
      </c>
      <c r="HK3" s="73" t="s">
        <v>251</v>
      </c>
      <c r="HL3" s="73" t="s">
        <v>250</v>
      </c>
      <c r="HM3" s="73" t="s">
        <v>249</v>
      </c>
      <c r="HN3" s="73" t="s">
        <v>248</v>
      </c>
      <c r="HO3" s="73" t="s">
        <v>247</v>
      </c>
      <c r="HP3" s="73" t="s">
        <v>246</v>
      </c>
      <c r="HQ3" s="73" t="s">
        <v>245</v>
      </c>
      <c r="HR3" s="73" t="s">
        <v>244</v>
      </c>
      <c r="HS3" s="73" t="s">
        <v>243</v>
      </c>
      <c r="HT3" s="73" t="s">
        <v>242</v>
      </c>
      <c r="HU3" s="73" t="s">
        <v>241</v>
      </c>
      <c r="HV3" s="73" t="s">
        <v>240</v>
      </c>
      <c r="HW3" s="73" t="s">
        <v>239</v>
      </c>
      <c r="HX3" s="73" t="s">
        <v>238</v>
      </c>
      <c r="HY3" s="73" t="s">
        <v>237</v>
      </c>
      <c r="HZ3" s="73" t="s">
        <v>236</v>
      </c>
      <c r="IA3" s="73" t="s">
        <v>235</v>
      </c>
      <c r="IB3" s="73" t="s">
        <v>234</v>
      </c>
      <c r="IC3" s="73" t="s">
        <v>233</v>
      </c>
      <c r="ID3" s="73" t="s">
        <v>232</v>
      </c>
      <c r="IE3" s="73" t="s">
        <v>231</v>
      </c>
      <c r="IF3" s="73" t="s">
        <v>230</v>
      </c>
      <c r="IG3" s="73" t="s">
        <v>229</v>
      </c>
      <c r="IH3" s="73" t="s">
        <v>228</v>
      </c>
      <c r="II3" s="73" t="s">
        <v>227</v>
      </c>
      <c r="IJ3" s="73" t="s">
        <v>226</v>
      </c>
      <c r="IK3" s="73" t="s">
        <v>225</v>
      </c>
      <c r="IL3" s="73" t="s">
        <v>224</v>
      </c>
      <c r="IM3" s="73" t="s">
        <v>223</v>
      </c>
    </row>
    <row r="4" spans="1:247" x14ac:dyDescent="0.35">
      <c r="A4" s="65" t="str">
        <f t="shared" ref="A4:A67" si="0">IF(C4&gt;0,"x","")</f>
        <v/>
      </c>
      <c r="B4" s="68" t="str">
        <f>Stoff!A4</f>
        <v>Arsen</v>
      </c>
      <c r="C4" s="67">
        <f t="shared" ref="C4:C67" si="1">COUNT(G4:IV4)</f>
        <v>0</v>
      </c>
      <c r="D4" s="55">
        <f t="shared" ref="D4:D67" si="2">MAXA(G4:IV4)</f>
        <v>0</v>
      </c>
      <c r="E4" s="55" t="e">
        <f t="shared" ref="E4:E67" si="3">AVERAGE(G4:IV4)</f>
        <v>#DIV/0!</v>
      </c>
      <c r="F4" s="66" t="e">
        <f t="shared" ref="F4:F67" si="4">D4/MEDIAN(G4:IV4)</f>
        <v>#NUM!</v>
      </c>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70"/>
      <c r="EE4" s="70"/>
      <c r="EF4" s="70"/>
      <c r="EG4" s="70"/>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row>
    <row r="5" spans="1:247" x14ac:dyDescent="0.35">
      <c r="A5" s="65" t="str">
        <f t="shared" si="0"/>
        <v/>
      </c>
      <c r="B5" s="68" t="str">
        <f>Stoff!A5</f>
        <v>Bly</v>
      </c>
      <c r="C5" s="67">
        <f t="shared" si="1"/>
        <v>0</v>
      </c>
      <c r="D5" s="55">
        <f t="shared" si="2"/>
        <v>0</v>
      </c>
      <c r="E5" s="55" t="e">
        <f t="shared" si="3"/>
        <v>#DIV/0!</v>
      </c>
      <c r="F5" s="66" t="e">
        <f t="shared" si="4"/>
        <v>#NUM!</v>
      </c>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70"/>
      <c r="EE5" s="70"/>
      <c r="EF5" s="70"/>
      <c r="EG5" s="70"/>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row>
    <row r="6" spans="1:247" x14ac:dyDescent="0.35">
      <c r="A6" s="65" t="str">
        <f t="shared" si="0"/>
        <v/>
      </c>
      <c r="B6" s="68" t="str">
        <f>Stoff!A6</f>
        <v>Kadmium</v>
      </c>
      <c r="C6" s="67">
        <f t="shared" si="1"/>
        <v>0</v>
      </c>
      <c r="D6" s="55">
        <f t="shared" si="2"/>
        <v>0</v>
      </c>
      <c r="E6" s="55" t="e">
        <f t="shared" si="3"/>
        <v>#DIV/0!</v>
      </c>
      <c r="F6" s="66" t="e">
        <f t="shared" si="4"/>
        <v>#NUM!</v>
      </c>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70"/>
      <c r="EE6" s="70"/>
      <c r="EF6" s="70"/>
      <c r="EG6" s="70"/>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row>
    <row r="7" spans="1:247" x14ac:dyDescent="0.35">
      <c r="A7" s="65" t="str">
        <f t="shared" si="0"/>
        <v/>
      </c>
      <c r="B7" s="68" t="str">
        <f>Stoff!A7</f>
        <v>Kvikksølv</v>
      </c>
      <c r="C7" s="67">
        <f t="shared" si="1"/>
        <v>0</v>
      </c>
      <c r="D7" s="55">
        <f t="shared" si="2"/>
        <v>0</v>
      </c>
      <c r="E7" s="55" t="e">
        <f t="shared" si="3"/>
        <v>#DIV/0!</v>
      </c>
      <c r="F7" s="66" t="e">
        <f t="shared" si="4"/>
        <v>#NUM!</v>
      </c>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70"/>
      <c r="EE7" s="70"/>
      <c r="EF7" s="70"/>
      <c r="EG7" s="70"/>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row>
    <row r="8" spans="1:247" x14ac:dyDescent="0.35">
      <c r="A8" s="65" t="str">
        <f t="shared" si="0"/>
        <v/>
      </c>
      <c r="B8" s="68" t="str">
        <f>Stoff!A8</f>
        <v>Kobber</v>
      </c>
      <c r="C8" s="67">
        <f t="shared" si="1"/>
        <v>0</v>
      </c>
      <c r="D8" s="55">
        <f t="shared" si="2"/>
        <v>0</v>
      </c>
      <c r="E8" s="55" t="e">
        <f t="shared" si="3"/>
        <v>#DIV/0!</v>
      </c>
      <c r="F8" s="66" t="e">
        <f t="shared" si="4"/>
        <v>#NUM!</v>
      </c>
      <c r="G8" s="56"/>
      <c r="H8" s="56"/>
      <c r="I8" s="56"/>
      <c r="J8" s="56"/>
      <c r="K8" s="56"/>
      <c r="L8" s="72"/>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70"/>
      <c r="EE8" s="70"/>
      <c r="EF8" s="70"/>
      <c r="EG8" s="70"/>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row>
    <row r="9" spans="1:247" x14ac:dyDescent="0.35">
      <c r="A9" s="65" t="str">
        <f t="shared" si="0"/>
        <v/>
      </c>
      <c r="B9" s="68" t="str">
        <f>Stoff!A9</f>
        <v>Sink</v>
      </c>
      <c r="C9" s="67">
        <f t="shared" si="1"/>
        <v>0</v>
      </c>
      <c r="D9" s="55">
        <f t="shared" si="2"/>
        <v>0</v>
      </c>
      <c r="E9" s="55" t="e">
        <f t="shared" si="3"/>
        <v>#DIV/0!</v>
      </c>
      <c r="F9" s="66" t="e">
        <f t="shared" si="4"/>
        <v>#NUM!</v>
      </c>
      <c r="G9" s="56"/>
      <c r="H9" s="56"/>
      <c r="I9" s="56"/>
      <c r="J9" s="56"/>
      <c r="K9" s="56"/>
      <c r="L9" s="72"/>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70"/>
      <c r="EE9" s="70"/>
      <c r="EF9" s="70"/>
      <c r="EG9" s="70"/>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row>
    <row r="10" spans="1:247" x14ac:dyDescent="0.35">
      <c r="A10" s="65" t="str">
        <f t="shared" si="0"/>
        <v/>
      </c>
      <c r="B10" s="68" t="str">
        <f>Stoff!A10</f>
        <v>Krom (III)</v>
      </c>
      <c r="C10" s="67">
        <f t="shared" si="1"/>
        <v>0</v>
      </c>
      <c r="D10" s="55">
        <f t="shared" si="2"/>
        <v>0</v>
      </c>
      <c r="E10" s="55" t="e">
        <f t="shared" si="3"/>
        <v>#DIV/0!</v>
      </c>
      <c r="F10" s="66" t="e">
        <f t="shared" si="4"/>
        <v>#NUM!</v>
      </c>
      <c r="G10" s="56"/>
      <c r="H10" s="56"/>
      <c r="I10" s="56"/>
      <c r="J10" s="56"/>
      <c r="K10" s="56"/>
      <c r="L10" s="72"/>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70"/>
      <c r="EE10" s="70"/>
      <c r="EF10" s="70"/>
      <c r="EG10" s="70"/>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row>
    <row r="11" spans="1:247" x14ac:dyDescent="0.35">
      <c r="A11" s="65" t="str">
        <f t="shared" si="0"/>
        <v/>
      </c>
      <c r="B11" s="68" t="str">
        <f>Stoff!A11</f>
        <v>Krom (VI)</v>
      </c>
      <c r="C11" s="67">
        <f t="shared" si="1"/>
        <v>0</v>
      </c>
      <c r="D11" s="55">
        <f t="shared" si="2"/>
        <v>0</v>
      </c>
      <c r="E11" s="55" t="e">
        <f t="shared" si="3"/>
        <v>#DIV/0!</v>
      </c>
      <c r="F11" s="66" t="e">
        <f t="shared" si="4"/>
        <v>#NUM!</v>
      </c>
      <c r="G11" s="56"/>
      <c r="H11" s="56"/>
      <c r="I11" s="56"/>
      <c r="J11" s="56"/>
      <c r="K11" s="56"/>
      <c r="L11" s="72"/>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70"/>
      <c r="EE11" s="70"/>
      <c r="EF11" s="70"/>
      <c r="EG11" s="70"/>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row>
    <row r="12" spans="1:247" x14ac:dyDescent="0.35">
      <c r="A12" s="65" t="str">
        <f t="shared" si="0"/>
        <v/>
      </c>
      <c r="B12" s="68" t="str">
        <f>Stoff!A12</f>
        <v>Krom totalt (III + VI)</v>
      </c>
      <c r="C12" s="67">
        <f t="shared" si="1"/>
        <v>0</v>
      </c>
      <c r="D12" s="55">
        <f t="shared" si="2"/>
        <v>0</v>
      </c>
      <c r="E12" s="55" t="e">
        <f t="shared" si="3"/>
        <v>#DIV/0!</v>
      </c>
      <c r="F12" s="66" t="e">
        <f t="shared" si="4"/>
        <v>#NUM!</v>
      </c>
      <c r="G12" s="56"/>
      <c r="H12" s="56"/>
      <c r="I12" s="56"/>
      <c r="J12" s="56"/>
      <c r="K12" s="56"/>
      <c r="L12" s="56"/>
      <c r="M12" s="56"/>
      <c r="N12" s="56"/>
      <c r="O12" s="56"/>
      <c r="P12" s="56"/>
      <c r="Q12" s="56"/>
      <c r="R12" s="56"/>
      <c r="S12" s="56"/>
      <c r="T12" s="56"/>
      <c r="U12" s="56"/>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70"/>
      <c r="EE12" s="70"/>
      <c r="EF12" s="70"/>
      <c r="EG12" s="70"/>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row>
    <row r="13" spans="1:247" x14ac:dyDescent="0.35">
      <c r="A13" s="65" t="str">
        <f t="shared" si="0"/>
        <v/>
      </c>
      <c r="B13" s="68" t="str">
        <f>Stoff!A13</f>
        <v>Nikkel</v>
      </c>
      <c r="C13" s="67">
        <f t="shared" si="1"/>
        <v>0</v>
      </c>
      <c r="D13" s="55">
        <f t="shared" si="2"/>
        <v>0</v>
      </c>
      <c r="E13" s="55" t="e">
        <f t="shared" si="3"/>
        <v>#DIV/0!</v>
      </c>
      <c r="F13" s="66" t="e">
        <f t="shared" si="4"/>
        <v>#NUM!</v>
      </c>
      <c r="G13" s="56"/>
      <c r="H13" s="56"/>
      <c r="I13" s="56"/>
      <c r="J13" s="56"/>
      <c r="K13" s="56"/>
      <c r="L13" s="56"/>
      <c r="M13" s="56"/>
      <c r="N13" s="56"/>
      <c r="O13" s="56"/>
      <c r="P13" s="56"/>
      <c r="Q13" s="56"/>
      <c r="R13" s="56"/>
      <c r="S13" s="56"/>
      <c r="T13" s="56"/>
      <c r="U13" s="56"/>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70"/>
      <c r="EE13" s="70"/>
      <c r="EF13" s="70"/>
      <c r="EG13" s="70"/>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row>
    <row r="14" spans="1:247" x14ac:dyDescent="0.35">
      <c r="A14" s="65" t="str">
        <f t="shared" si="0"/>
        <v/>
      </c>
      <c r="B14" s="68" t="str">
        <f>Stoff!A14</f>
        <v>Cyanid fri</v>
      </c>
      <c r="C14" s="67">
        <f t="shared" si="1"/>
        <v>0</v>
      </c>
      <c r="D14" s="55">
        <f t="shared" si="2"/>
        <v>0</v>
      </c>
      <c r="E14" s="55" t="e">
        <f t="shared" si="3"/>
        <v>#DIV/0!</v>
      </c>
      <c r="F14" s="66" t="e">
        <f t="shared" si="4"/>
        <v>#NUM!</v>
      </c>
      <c r="G14" s="56"/>
      <c r="H14" s="56"/>
      <c r="I14" s="56"/>
      <c r="J14" s="56"/>
      <c r="K14" s="56"/>
      <c r="L14" s="56"/>
      <c r="M14" s="56"/>
      <c r="N14" s="56"/>
      <c r="O14" s="56"/>
      <c r="P14" s="56"/>
      <c r="Q14" s="56"/>
      <c r="R14" s="56"/>
      <c r="S14" s="56"/>
      <c r="T14" s="56"/>
      <c r="U14" s="56"/>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70"/>
      <c r="EE14" s="70"/>
      <c r="EF14" s="70"/>
      <c r="EG14" s="70"/>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row>
    <row r="15" spans="1:247" x14ac:dyDescent="0.35">
      <c r="A15" s="65" t="str">
        <f t="shared" si="0"/>
        <v/>
      </c>
      <c r="B15" s="68" t="str">
        <f>Stoff!A15</f>
        <v>PCB CAS1336-36-3</v>
      </c>
      <c r="C15" s="67">
        <f t="shared" si="1"/>
        <v>0</v>
      </c>
      <c r="D15" s="55">
        <f t="shared" si="2"/>
        <v>0</v>
      </c>
      <c r="E15" s="55" t="e">
        <f t="shared" si="3"/>
        <v>#DIV/0!</v>
      </c>
      <c r="F15" s="66" t="e">
        <f t="shared" si="4"/>
        <v>#NUM!</v>
      </c>
      <c r="G15" s="56"/>
      <c r="H15" s="56"/>
      <c r="I15" s="56"/>
      <c r="J15" s="56"/>
      <c r="K15" s="56"/>
      <c r="L15" s="56"/>
      <c r="M15" s="56"/>
      <c r="N15" s="56"/>
      <c r="O15" s="56"/>
      <c r="P15" s="56"/>
      <c r="Q15" s="56"/>
      <c r="R15" s="56"/>
      <c r="S15" s="56"/>
      <c r="T15" s="56"/>
      <c r="U15" s="56"/>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70"/>
      <c r="EE15" s="70"/>
      <c r="EF15" s="70"/>
      <c r="EG15" s="70"/>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row>
    <row r="16" spans="1:247" x14ac:dyDescent="0.35">
      <c r="A16" s="65" t="str">
        <f t="shared" si="0"/>
        <v/>
      </c>
      <c r="B16" s="68" t="str">
        <f>Stoff!A16</f>
        <v>Lindan</v>
      </c>
      <c r="C16" s="67">
        <f t="shared" si="1"/>
        <v>0</v>
      </c>
      <c r="D16" s="55">
        <f t="shared" si="2"/>
        <v>0</v>
      </c>
      <c r="E16" s="55" t="e">
        <f t="shared" si="3"/>
        <v>#DIV/0!</v>
      </c>
      <c r="F16" s="66" t="e">
        <f t="shared" si="4"/>
        <v>#NUM!</v>
      </c>
      <c r="G16" s="56"/>
      <c r="H16" s="56"/>
      <c r="I16" s="56"/>
      <c r="J16" s="56"/>
      <c r="K16" s="56"/>
      <c r="L16" s="56"/>
      <c r="M16" s="56"/>
      <c r="N16" s="56"/>
      <c r="O16" s="56"/>
      <c r="P16" s="56"/>
      <c r="Q16" s="56"/>
      <c r="R16" s="56"/>
      <c r="S16" s="56"/>
      <c r="T16" s="56"/>
      <c r="U16" s="56"/>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70"/>
      <c r="EE16" s="70"/>
      <c r="EF16" s="70"/>
      <c r="EG16" s="70"/>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row>
    <row r="17" spans="1:247" x14ac:dyDescent="0.35">
      <c r="A17" s="65" t="str">
        <f t="shared" si="0"/>
        <v/>
      </c>
      <c r="B17" s="68" t="str">
        <f>Stoff!A17</f>
        <v>DDT</v>
      </c>
      <c r="C17" s="67">
        <f t="shared" si="1"/>
        <v>0</v>
      </c>
      <c r="D17" s="55">
        <f t="shared" si="2"/>
        <v>0</v>
      </c>
      <c r="E17" s="55" t="e">
        <f t="shared" si="3"/>
        <v>#DIV/0!</v>
      </c>
      <c r="F17" s="66" t="e">
        <f t="shared" si="4"/>
        <v>#NUM!</v>
      </c>
      <c r="G17" s="56"/>
      <c r="H17" s="56"/>
      <c r="I17" s="56"/>
      <c r="J17" s="56"/>
      <c r="K17" s="56"/>
      <c r="L17" s="56"/>
      <c r="M17" s="56"/>
      <c r="N17" s="56"/>
      <c r="O17" s="56"/>
      <c r="P17" s="56"/>
      <c r="Q17" s="56"/>
      <c r="R17" s="56"/>
      <c r="S17" s="56"/>
      <c r="T17" s="56"/>
      <c r="U17" s="56"/>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70"/>
      <c r="EE17" s="70"/>
      <c r="EF17" s="70"/>
      <c r="EG17" s="70"/>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row>
    <row r="18" spans="1:247" x14ac:dyDescent="0.35">
      <c r="A18" s="65" t="str">
        <f t="shared" si="0"/>
        <v/>
      </c>
      <c r="B18" s="68" t="str">
        <f>Stoff!A18</f>
        <v>Monoklorbensen</v>
      </c>
      <c r="C18" s="67">
        <f t="shared" si="1"/>
        <v>0</v>
      </c>
      <c r="D18" s="55">
        <f t="shared" si="2"/>
        <v>0</v>
      </c>
      <c r="E18" s="55" t="e">
        <f t="shared" si="3"/>
        <v>#DIV/0!</v>
      </c>
      <c r="F18" s="66" t="e">
        <f t="shared" si="4"/>
        <v>#NUM!</v>
      </c>
      <c r="G18" s="56"/>
      <c r="H18" s="56"/>
      <c r="I18" s="56"/>
      <c r="J18" s="56"/>
      <c r="K18" s="56"/>
      <c r="L18" s="56"/>
      <c r="M18" s="56"/>
      <c r="N18" s="56"/>
      <c r="O18" s="56"/>
      <c r="P18" s="56"/>
      <c r="Q18" s="56"/>
      <c r="R18" s="56"/>
      <c r="S18" s="56"/>
      <c r="T18" s="56"/>
      <c r="U18" s="56"/>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70"/>
      <c r="EE18" s="70"/>
      <c r="EF18" s="70"/>
      <c r="EG18" s="70"/>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row>
    <row r="19" spans="1:247" x14ac:dyDescent="0.35">
      <c r="A19" s="65" t="str">
        <f t="shared" si="0"/>
        <v/>
      </c>
      <c r="B19" s="68" t="str">
        <f>Stoff!A19</f>
        <v>1,2-diklorbensen</v>
      </c>
      <c r="C19" s="67">
        <f t="shared" si="1"/>
        <v>0</v>
      </c>
      <c r="D19" s="55">
        <f t="shared" si="2"/>
        <v>0</v>
      </c>
      <c r="E19" s="55" t="e">
        <f t="shared" si="3"/>
        <v>#DIV/0!</v>
      </c>
      <c r="F19" s="66" t="e">
        <f t="shared" si="4"/>
        <v>#NUM!</v>
      </c>
      <c r="G19" s="56"/>
      <c r="H19" s="56"/>
      <c r="I19" s="56"/>
      <c r="J19" s="56"/>
      <c r="K19" s="56"/>
      <c r="L19" s="56"/>
      <c r="M19" s="56"/>
      <c r="N19" s="56"/>
      <c r="O19" s="56"/>
      <c r="P19" s="56"/>
      <c r="Q19" s="56"/>
      <c r="R19" s="56"/>
      <c r="S19" s="56"/>
      <c r="T19" s="56"/>
      <c r="U19" s="56"/>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70"/>
      <c r="EE19" s="70"/>
      <c r="EF19" s="70"/>
      <c r="EG19" s="70"/>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row>
    <row r="20" spans="1:247" x14ac:dyDescent="0.35">
      <c r="A20" s="65" t="str">
        <f t="shared" si="0"/>
        <v/>
      </c>
      <c r="B20" s="68" t="str">
        <f>Stoff!A20</f>
        <v>1,4-diklorbensen</v>
      </c>
      <c r="C20" s="67">
        <f t="shared" si="1"/>
        <v>0</v>
      </c>
      <c r="D20" s="55">
        <f t="shared" si="2"/>
        <v>0</v>
      </c>
      <c r="E20" s="55" t="e">
        <f t="shared" si="3"/>
        <v>#DIV/0!</v>
      </c>
      <c r="F20" s="66" t="e">
        <f t="shared" si="4"/>
        <v>#NUM!</v>
      </c>
      <c r="G20" s="56"/>
      <c r="H20" s="56"/>
      <c r="I20" s="56"/>
      <c r="J20" s="56"/>
      <c r="K20" s="56"/>
      <c r="L20" s="56"/>
      <c r="M20" s="56"/>
      <c r="N20" s="56"/>
      <c r="O20" s="56"/>
      <c r="P20" s="56"/>
      <c r="Q20" s="56"/>
      <c r="R20" s="56"/>
      <c r="S20" s="56"/>
      <c r="T20" s="56"/>
      <c r="U20" s="56"/>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70"/>
      <c r="EE20" s="70"/>
      <c r="EF20" s="70"/>
      <c r="EG20" s="70"/>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row>
    <row r="21" spans="1:247" x14ac:dyDescent="0.35">
      <c r="A21" s="65" t="str">
        <f t="shared" si="0"/>
        <v/>
      </c>
      <c r="B21" s="68" t="str">
        <f>Stoff!A21</f>
        <v>1,2,4-triklorbensen</v>
      </c>
      <c r="C21" s="67">
        <f t="shared" si="1"/>
        <v>0</v>
      </c>
      <c r="D21" s="55">
        <f t="shared" si="2"/>
        <v>0</v>
      </c>
      <c r="E21" s="55" t="e">
        <f t="shared" si="3"/>
        <v>#DIV/0!</v>
      </c>
      <c r="F21" s="66" t="e">
        <f t="shared" si="4"/>
        <v>#NUM!</v>
      </c>
      <c r="G21" s="56"/>
      <c r="H21" s="56"/>
      <c r="I21" s="56"/>
      <c r="J21" s="56"/>
      <c r="K21" s="56"/>
      <c r="L21" s="56"/>
      <c r="M21" s="56"/>
      <c r="N21" s="56"/>
      <c r="O21" s="56"/>
      <c r="P21" s="56"/>
      <c r="Q21" s="56"/>
      <c r="R21" s="56"/>
      <c r="S21" s="56"/>
      <c r="T21" s="56"/>
      <c r="U21" s="56"/>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70"/>
      <c r="EE21" s="70"/>
      <c r="EF21" s="70"/>
      <c r="EG21" s="70"/>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row>
    <row r="22" spans="1:247" x14ac:dyDescent="0.35">
      <c r="A22" s="65" t="str">
        <f t="shared" si="0"/>
        <v/>
      </c>
      <c r="B22" s="68" t="str">
        <f>Stoff!A22</f>
        <v>1,2,3-triklorbensen</v>
      </c>
      <c r="C22" s="67">
        <f t="shared" si="1"/>
        <v>0</v>
      </c>
      <c r="D22" s="55">
        <f t="shared" si="2"/>
        <v>0</v>
      </c>
      <c r="E22" s="55" t="e">
        <f t="shared" si="3"/>
        <v>#DIV/0!</v>
      </c>
      <c r="F22" s="66" t="e">
        <f t="shared" si="4"/>
        <v>#NUM!</v>
      </c>
      <c r="G22" s="56"/>
      <c r="H22" s="56"/>
      <c r="I22" s="56"/>
      <c r="J22" s="56"/>
      <c r="K22" s="56"/>
      <c r="L22" s="72"/>
      <c r="M22" s="56"/>
      <c r="N22" s="56"/>
      <c r="O22" s="56"/>
      <c r="P22" s="56"/>
      <c r="Q22" s="56"/>
      <c r="R22" s="56"/>
      <c r="S22" s="56"/>
      <c r="T22" s="56"/>
      <c r="U22" s="56"/>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70"/>
      <c r="EE22" s="70"/>
      <c r="EF22" s="70"/>
      <c r="EG22" s="70"/>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row>
    <row r="23" spans="1:247" x14ac:dyDescent="0.35">
      <c r="A23" s="65" t="str">
        <f t="shared" si="0"/>
        <v/>
      </c>
      <c r="B23" s="68" t="str">
        <f>Stoff!A23</f>
        <v>1,3,5-triklorbensen</v>
      </c>
      <c r="C23" s="67">
        <f t="shared" si="1"/>
        <v>0</v>
      </c>
      <c r="D23" s="55">
        <f t="shared" si="2"/>
        <v>0</v>
      </c>
      <c r="E23" s="55" t="e">
        <f t="shared" si="3"/>
        <v>#DIV/0!</v>
      </c>
      <c r="F23" s="66" t="e">
        <f t="shared" si="4"/>
        <v>#NUM!</v>
      </c>
      <c r="G23" s="56"/>
      <c r="H23" s="56"/>
      <c r="I23" s="56"/>
      <c r="J23" s="56"/>
      <c r="K23" s="56"/>
      <c r="L23" s="72"/>
      <c r="M23" s="56"/>
      <c r="N23" s="56"/>
      <c r="O23" s="56"/>
      <c r="P23" s="56"/>
      <c r="Q23" s="56"/>
      <c r="R23" s="56"/>
      <c r="S23" s="56"/>
      <c r="T23" s="56"/>
      <c r="U23" s="56"/>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70"/>
      <c r="EE23" s="70"/>
      <c r="EF23" s="70"/>
      <c r="EG23" s="70"/>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row>
    <row r="24" spans="1:247" x14ac:dyDescent="0.35">
      <c r="A24" s="65" t="str">
        <f t="shared" si="0"/>
        <v/>
      </c>
      <c r="B24" s="68" t="str">
        <f>Stoff!A24</f>
        <v>1,2,4,5-tetraklorbensen</v>
      </c>
      <c r="C24" s="67">
        <f t="shared" si="1"/>
        <v>0</v>
      </c>
      <c r="D24" s="55">
        <f t="shared" si="2"/>
        <v>0</v>
      </c>
      <c r="E24" s="55" t="e">
        <f t="shared" si="3"/>
        <v>#DIV/0!</v>
      </c>
      <c r="F24" s="66" t="e">
        <f t="shared" si="4"/>
        <v>#NUM!</v>
      </c>
      <c r="G24" s="56"/>
      <c r="H24" s="56"/>
      <c r="I24" s="56"/>
      <c r="J24" s="56"/>
      <c r="K24" s="56"/>
      <c r="L24" s="72"/>
      <c r="M24" s="56"/>
      <c r="N24" s="56"/>
      <c r="O24" s="56"/>
      <c r="P24" s="56"/>
      <c r="Q24" s="56"/>
      <c r="R24" s="56"/>
      <c r="S24" s="56"/>
      <c r="T24" s="56"/>
      <c r="U24" s="56"/>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70"/>
      <c r="EE24" s="70"/>
      <c r="EF24" s="70"/>
      <c r="EG24" s="70"/>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row>
    <row r="25" spans="1:247" x14ac:dyDescent="0.35">
      <c r="A25" s="65" t="str">
        <f t="shared" si="0"/>
        <v/>
      </c>
      <c r="B25" s="68" t="str">
        <f>Stoff!A25</f>
        <v>Pentaklorbensen</v>
      </c>
      <c r="C25" s="67">
        <f t="shared" si="1"/>
        <v>0</v>
      </c>
      <c r="D25" s="55">
        <f t="shared" si="2"/>
        <v>0</v>
      </c>
      <c r="E25" s="55" t="e">
        <f t="shared" si="3"/>
        <v>#DIV/0!</v>
      </c>
      <c r="F25" s="66" t="e">
        <f t="shared" si="4"/>
        <v>#NUM!</v>
      </c>
      <c r="G25" s="56"/>
      <c r="H25" s="56"/>
      <c r="I25" s="56"/>
      <c r="J25" s="56"/>
      <c r="K25" s="56"/>
      <c r="L25" s="72"/>
      <c r="M25" s="56"/>
      <c r="N25" s="56"/>
      <c r="O25" s="56"/>
      <c r="P25" s="56"/>
      <c r="Q25" s="56"/>
      <c r="R25" s="56"/>
      <c r="S25" s="56"/>
      <c r="T25" s="56"/>
      <c r="U25" s="56"/>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70"/>
      <c r="EE25" s="70"/>
      <c r="EF25" s="70"/>
      <c r="EG25" s="70"/>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row>
    <row r="26" spans="1:247" x14ac:dyDescent="0.35">
      <c r="A26" s="65" t="str">
        <f t="shared" si="0"/>
        <v/>
      </c>
      <c r="B26" s="68" t="str">
        <f>Stoff!A26</f>
        <v>Heksaklorbensen</v>
      </c>
      <c r="C26" s="67">
        <f t="shared" si="1"/>
        <v>0</v>
      </c>
      <c r="D26" s="55">
        <f t="shared" si="2"/>
        <v>0</v>
      </c>
      <c r="E26" s="55" t="e">
        <f t="shared" si="3"/>
        <v>#DIV/0!</v>
      </c>
      <c r="F26" s="66" t="e">
        <f t="shared" si="4"/>
        <v>#NUM!</v>
      </c>
      <c r="G26" s="56"/>
      <c r="H26" s="56"/>
      <c r="I26" s="56"/>
      <c r="J26" s="56"/>
      <c r="K26" s="56"/>
      <c r="L26" s="72"/>
      <c r="M26" s="56"/>
      <c r="N26" s="56"/>
      <c r="O26" s="56"/>
      <c r="P26" s="56"/>
      <c r="Q26" s="56"/>
      <c r="R26" s="56"/>
      <c r="S26" s="56"/>
      <c r="T26" s="56"/>
      <c r="U26" s="56"/>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70"/>
      <c r="EE26" s="70"/>
      <c r="EF26" s="70"/>
      <c r="EG26" s="70"/>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row>
    <row r="27" spans="1:247" x14ac:dyDescent="0.35">
      <c r="A27" s="65" t="str">
        <f t="shared" si="0"/>
        <v/>
      </c>
      <c r="B27" s="68" t="str">
        <f>Stoff!A27</f>
        <v>Diklormetan</v>
      </c>
      <c r="C27" s="67">
        <f t="shared" si="1"/>
        <v>0</v>
      </c>
      <c r="D27" s="55">
        <f t="shared" si="2"/>
        <v>0</v>
      </c>
      <c r="E27" s="55" t="e">
        <f t="shared" si="3"/>
        <v>#DIV/0!</v>
      </c>
      <c r="F27" s="66" t="e">
        <f t="shared" si="4"/>
        <v>#NUM!</v>
      </c>
      <c r="G27" s="56"/>
      <c r="H27" s="56"/>
      <c r="I27" s="56"/>
      <c r="J27" s="56"/>
      <c r="K27" s="56"/>
      <c r="L27" s="72"/>
      <c r="M27" s="56"/>
      <c r="N27" s="56"/>
      <c r="O27" s="56"/>
      <c r="P27" s="56"/>
      <c r="Q27" s="56"/>
      <c r="R27" s="56"/>
      <c r="S27" s="56"/>
      <c r="T27" s="56"/>
      <c r="U27" s="56"/>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70"/>
      <c r="EE27" s="70"/>
      <c r="EF27" s="70"/>
      <c r="EG27" s="70"/>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row>
    <row r="28" spans="1:247" x14ac:dyDescent="0.35">
      <c r="A28" s="65" t="str">
        <f t="shared" si="0"/>
        <v/>
      </c>
      <c r="B28" s="68" t="str">
        <f>Stoff!A28</f>
        <v>Triklormetan</v>
      </c>
      <c r="C28" s="67">
        <f t="shared" si="1"/>
        <v>0</v>
      </c>
      <c r="D28" s="55">
        <f t="shared" si="2"/>
        <v>0</v>
      </c>
      <c r="E28" s="55" t="e">
        <f t="shared" si="3"/>
        <v>#DIV/0!</v>
      </c>
      <c r="F28" s="66" t="e">
        <f t="shared" si="4"/>
        <v>#NUM!</v>
      </c>
      <c r="G28" s="56"/>
      <c r="H28" s="56"/>
      <c r="I28" s="56"/>
      <c r="J28" s="56"/>
      <c r="K28" s="56"/>
      <c r="L28" s="72"/>
      <c r="M28" s="56"/>
      <c r="N28" s="56"/>
      <c r="O28" s="56"/>
      <c r="P28" s="56"/>
      <c r="Q28" s="56"/>
      <c r="R28" s="56"/>
      <c r="S28" s="56"/>
      <c r="T28" s="56"/>
      <c r="U28" s="56"/>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70"/>
      <c r="EE28" s="70"/>
      <c r="EF28" s="70"/>
      <c r="EG28" s="70"/>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row>
    <row r="29" spans="1:247" x14ac:dyDescent="0.35">
      <c r="A29" s="65" t="str">
        <f t="shared" si="0"/>
        <v/>
      </c>
      <c r="B29" s="68" t="str">
        <f>Stoff!A29</f>
        <v>Trikloreten</v>
      </c>
      <c r="C29" s="67">
        <f t="shared" si="1"/>
        <v>0</v>
      </c>
      <c r="D29" s="55">
        <f t="shared" si="2"/>
        <v>0</v>
      </c>
      <c r="E29" s="55" t="e">
        <f t="shared" si="3"/>
        <v>#DIV/0!</v>
      </c>
      <c r="F29" s="66" t="e">
        <f t="shared" si="4"/>
        <v>#NUM!</v>
      </c>
      <c r="G29" s="56"/>
      <c r="H29" s="56"/>
      <c r="I29" s="56"/>
      <c r="J29" s="56"/>
      <c r="K29" s="56"/>
      <c r="L29" s="56"/>
      <c r="M29" s="56"/>
      <c r="N29" s="56"/>
      <c r="O29" s="56"/>
      <c r="P29" s="56"/>
      <c r="Q29" s="56"/>
      <c r="R29" s="56"/>
      <c r="S29" s="56"/>
      <c r="T29" s="56"/>
      <c r="U29" s="56"/>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70"/>
      <c r="EE29" s="70"/>
      <c r="EF29" s="70"/>
      <c r="EG29" s="70"/>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row>
    <row r="30" spans="1:247" x14ac:dyDescent="0.35">
      <c r="A30" s="65" t="str">
        <f t="shared" si="0"/>
        <v/>
      </c>
      <c r="B30" s="68" t="str">
        <f>Stoff!A30</f>
        <v>Tetraklormetan</v>
      </c>
      <c r="C30" s="67">
        <f t="shared" si="1"/>
        <v>0</v>
      </c>
      <c r="D30" s="55">
        <f t="shared" si="2"/>
        <v>0</v>
      </c>
      <c r="E30" s="55" t="e">
        <f t="shared" si="3"/>
        <v>#DIV/0!</v>
      </c>
      <c r="F30" s="66" t="e">
        <f t="shared" si="4"/>
        <v>#NUM!</v>
      </c>
      <c r="G30" s="56"/>
      <c r="H30" s="56"/>
      <c r="I30" s="56"/>
      <c r="J30" s="56"/>
      <c r="K30" s="56"/>
      <c r="L30" s="71"/>
      <c r="M30" s="71"/>
      <c r="N30" s="71"/>
      <c r="O30" s="71"/>
      <c r="P30" s="56"/>
      <c r="Q30" s="56"/>
      <c r="R30" s="56"/>
      <c r="S30" s="56"/>
      <c r="T30" s="56"/>
      <c r="U30" s="56"/>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70"/>
      <c r="EE30" s="70"/>
      <c r="EF30" s="70"/>
      <c r="EG30" s="70"/>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row>
    <row r="31" spans="1:247" x14ac:dyDescent="0.35">
      <c r="A31" s="65" t="str">
        <f t="shared" si="0"/>
        <v/>
      </c>
      <c r="B31" s="68" t="str">
        <f>Stoff!A31</f>
        <v>Tetrakloreten</v>
      </c>
      <c r="C31" s="67">
        <f t="shared" si="1"/>
        <v>0</v>
      </c>
      <c r="D31" s="55">
        <f t="shared" si="2"/>
        <v>0</v>
      </c>
      <c r="E31" s="55" t="e">
        <f t="shared" si="3"/>
        <v>#DIV/0!</v>
      </c>
      <c r="F31" s="66" t="e">
        <f t="shared" si="4"/>
        <v>#NUM!</v>
      </c>
      <c r="G31" s="56"/>
      <c r="H31" s="56"/>
      <c r="I31" s="56"/>
      <c r="J31" s="56"/>
      <c r="K31" s="56"/>
      <c r="L31" s="56"/>
      <c r="M31" s="56"/>
      <c r="N31" s="56"/>
      <c r="O31" s="56"/>
      <c r="P31" s="56"/>
      <c r="Q31" s="56"/>
      <c r="R31" s="56"/>
      <c r="S31" s="56"/>
      <c r="T31" s="56"/>
      <c r="U31" s="56"/>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70"/>
      <c r="EE31" s="70"/>
      <c r="EF31" s="70"/>
      <c r="EG31" s="70"/>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row>
    <row r="32" spans="1:247" x14ac:dyDescent="0.35">
      <c r="A32" s="65" t="str">
        <f t="shared" si="0"/>
        <v/>
      </c>
      <c r="B32" s="68" t="str">
        <f>Stoff!A32</f>
        <v>1,2-dikloretan</v>
      </c>
      <c r="C32" s="67">
        <f t="shared" si="1"/>
        <v>0</v>
      </c>
      <c r="D32" s="55">
        <f t="shared" si="2"/>
        <v>0</v>
      </c>
      <c r="E32" s="55" t="e">
        <f t="shared" si="3"/>
        <v>#DIV/0!</v>
      </c>
      <c r="F32" s="66" t="e">
        <f t="shared" si="4"/>
        <v>#NUM!</v>
      </c>
      <c r="G32" s="56"/>
      <c r="H32" s="56"/>
      <c r="I32" s="56"/>
      <c r="J32" s="56"/>
      <c r="K32" s="56"/>
      <c r="L32" s="56"/>
      <c r="M32" s="56"/>
      <c r="N32" s="56"/>
      <c r="O32" s="56"/>
      <c r="P32" s="56"/>
      <c r="Q32" s="56"/>
      <c r="R32" s="56"/>
      <c r="S32" s="56"/>
      <c r="T32" s="56"/>
      <c r="U32" s="56"/>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70"/>
      <c r="EE32" s="70"/>
      <c r="EF32" s="70"/>
      <c r="EG32" s="70"/>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row>
    <row r="33" spans="1:247" x14ac:dyDescent="0.35">
      <c r="A33" s="65" t="str">
        <f t="shared" si="0"/>
        <v/>
      </c>
      <c r="B33" s="68" t="str">
        <f>Stoff!A33</f>
        <v>1,2-dibrometan</v>
      </c>
      <c r="C33" s="67">
        <f t="shared" si="1"/>
        <v>0</v>
      </c>
      <c r="D33" s="55">
        <f t="shared" si="2"/>
        <v>0</v>
      </c>
      <c r="E33" s="55" t="e">
        <f t="shared" si="3"/>
        <v>#DIV/0!</v>
      </c>
      <c r="F33" s="66" t="e">
        <f t="shared" si="4"/>
        <v>#NUM!</v>
      </c>
      <c r="G33" s="118"/>
      <c r="H33" s="56"/>
      <c r="I33" s="56"/>
      <c r="J33" s="56"/>
      <c r="K33" s="56"/>
      <c r="L33" s="56"/>
      <c r="M33" s="56"/>
      <c r="N33" s="56"/>
      <c r="O33" s="56"/>
      <c r="P33" s="56"/>
      <c r="Q33" s="56"/>
      <c r="R33" s="56"/>
      <c r="S33" s="56"/>
      <c r="T33" s="56"/>
      <c r="U33" s="56"/>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70"/>
      <c r="EE33" s="70"/>
      <c r="EF33" s="70"/>
      <c r="EG33" s="70"/>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row>
    <row r="34" spans="1:247" x14ac:dyDescent="0.35">
      <c r="A34" s="65" t="str">
        <f t="shared" si="0"/>
        <v/>
      </c>
      <c r="B34" s="68" t="str">
        <f>Stoff!A34</f>
        <v>1,1,1-trikloretan</v>
      </c>
      <c r="C34" s="67">
        <f t="shared" si="1"/>
        <v>0</v>
      </c>
      <c r="D34" s="55">
        <f t="shared" si="2"/>
        <v>0</v>
      </c>
      <c r="E34" s="55" t="e">
        <f t="shared" si="3"/>
        <v>#DIV/0!</v>
      </c>
      <c r="F34" s="66" t="e">
        <f t="shared" si="4"/>
        <v>#NUM!</v>
      </c>
      <c r="G34" s="56"/>
      <c r="H34" s="56"/>
      <c r="I34" s="56"/>
      <c r="J34" s="56"/>
      <c r="K34" s="56"/>
      <c r="L34" s="56"/>
      <c r="M34" s="56"/>
      <c r="N34" s="56"/>
      <c r="O34" s="56"/>
      <c r="P34" s="56"/>
      <c r="Q34" s="56"/>
      <c r="R34" s="56"/>
      <c r="S34" s="56"/>
      <c r="T34" s="56"/>
      <c r="U34" s="56"/>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70"/>
      <c r="EE34" s="70"/>
      <c r="EF34" s="70"/>
      <c r="EG34" s="70"/>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row>
    <row r="35" spans="1:247" x14ac:dyDescent="0.35">
      <c r="A35" s="65" t="str">
        <f t="shared" si="0"/>
        <v/>
      </c>
      <c r="B35" s="68" t="str">
        <f>Stoff!A35</f>
        <v>1,1,2-trikloretan</v>
      </c>
      <c r="C35" s="67">
        <f t="shared" si="1"/>
        <v>0</v>
      </c>
      <c r="D35" s="55">
        <f t="shared" si="2"/>
        <v>0</v>
      </c>
      <c r="E35" s="55" t="e">
        <f t="shared" si="3"/>
        <v>#DIV/0!</v>
      </c>
      <c r="F35" s="66" t="e">
        <f t="shared" si="4"/>
        <v>#NUM!</v>
      </c>
      <c r="G35" s="56"/>
      <c r="H35" s="56"/>
      <c r="I35" s="56"/>
      <c r="J35" s="56"/>
      <c r="K35" s="56"/>
      <c r="L35" s="56"/>
      <c r="M35" s="56"/>
      <c r="N35" s="56"/>
      <c r="O35" s="56"/>
      <c r="P35" s="56"/>
      <c r="Q35" s="56"/>
      <c r="R35" s="56"/>
      <c r="S35" s="56"/>
      <c r="T35" s="56"/>
      <c r="U35" s="56"/>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70"/>
      <c r="EE35" s="70"/>
      <c r="EF35" s="70"/>
      <c r="EG35" s="70"/>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row>
    <row r="36" spans="1:247" x14ac:dyDescent="0.35">
      <c r="A36" s="65" t="str">
        <f t="shared" si="0"/>
        <v/>
      </c>
      <c r="B36" s="68" t="str">
        <f>Stoff!A36</f>
        <v>Fenol</v>
      </c>
      <c r="C36" s="67">
        <f t="shared" si="1"/>
        <v>0</v>
      </c>
      <c r="D36" s="55">
        <f t="shared" si="2"/>
        <v>0</v>
      </c>
      <c r="E36" s="55" t="e">
        <f t="shared" si="3"/>
        <v>#DIV/0!</v>
      </c>
      <c r="F36" s="66" t="e">
        <f t="shared" si="4"/>
        <v>#NUM!</v>
      </c>
      <c r="G36" s="56"/>
      <c r="H36" s="56"/>
      <c r="I36" s="56"/>
      <c r="J36" s="56"/>
      <c r="K36" s="56"/>
      <c r="L36" s="56"/>
      <c r="M36" s="56"/>
      <c r="N36" s="56"/>
      <c r="O36" s="56"/>
      <c r="P36" s="56"/>
      <c r="Q36" s="56"/>
      <c r="R36" s="56"/>
      <c r="S36" s="56"/>
      <c r="T36" s="56"/>
      <c r="U36" s="56"/>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70"/>
      <c r="EE36" s="70"/>
      <c r="EF36" s="70"/>
      <c r="EG36" s="70"/>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row>
    <row r="37" spans="1:247" x14ac:dyDescent="0.35">
      <c r="A37" s="65" t="str">
        <f t="shared" si="0"/>
        <v/>
      </c>
      <c r="B37" s="68" t="str">
        <f>Stoff!A37</f>
        <v>Sum mono,di,tri,tetra</v>
      </c>
      <c r="C37" s="67">
        <f t="shared" si="1"/>
        <v>0</v>
      </c>
      <c r="D37" s="55">
        <f t="shared" si="2"/>
        <v>0</v>
      </c>
      <c r="E37" s="55" t="e">
        <f t="shared" si="3"/>
        <v>#DIV/0!</v>
      </c>
      <c r="F37" s="66" t="e">
        <f t="shared" si="4"/>
        <v>#NUM!</v>
      </c>
      <c r="G37" s="56"/>
      <c r="H37" s="56"/>
      <c r="I37" s="56"/>
      <c r="J37" s="56"/>
      <c r="K37" s="56"/>
      <c r="L37" s="56"/>
      <c r="M37" s="56"/>
      <c r="N37" s="56"/>
      <c r="O37" s="56"/>
      <c r="P37" s="56"/>
      <c r="Q37" s="56"/>
      <c r="R37" s="56"/>
      <c r="S37" s="56"/>
      <c r="T37" s="56"/>
      <c r="U37" s="56"/>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row>
    <row r="38" spans="1:247" x14ac:dyDescent="0.35">
      <c r="A38" s="65" t="str">
        <f t="shared" si="0"/>
        <v/>
      </c>
      <c r="B38" s="68" t="str">
        <f>Stoff!A38</f>
        <v>Pentaklorfenol</v>
      </c>
      <c r="C38" s="67">
        <f t="shared" si="1"/>
        <v>0</v>
      </c>
      <c r="D38" s="55">
        <f t="shared" si="2"/>
        <v>0</v>
      </c>
      <c r="E38" s="55" t="e">
        <f t="shared" si="3"/>
        <v>#DIV/0!</v>
      </c>
      <c r="F38" s="66" t="e">
        <f t="shared" si="4"/>
        <v>#NUM!</v>
      </c>
      <c r="G38" s="56"/>
      <c r="H38" s="56"/>
      <c r="I38" s="56"/>
      <c r="J38" s="56"/>
      <c r="K38" s="56"/>
      <c r="L38" s="56"/>
      <c r="M38" s="56"/>
      <c r="N38" s="56"/>
      <c r="O38" s="56"/>
      <c r="P38" s="56"/>
      <c r="Q38" s="56"/>
      <c r="R38" s="56"/>
      <c r="S38" s="56"/>
      <c r="T38" s="56"/>
      <c r="U38" s="56"/>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69"/>
      <c r="EI38" s="69"/>
      <c r="EJ38" s="69"/>
      <c r="EK38" s="69"/>
      <c r="EL38" s="69"/>
      <c r="EM38" s="69"/>
      <c r="EN38" s="69"/>
      <c r="EO38" s="69"/>
      <c r="EP38" s="69"/>
      <c r="EQ38" s="69"/>
      <c r="ER38" s="69"/>
      <c r="ES38" s="69"/>
      <c r="ET38" s="69"/>
      <c r="EU38" s="69"/>
      <c r="EV38" s="69"/>
      <c r="EW38" s="69"/>
      <c r="EX38" s="69"/>
      <c r="EY38" s="69"/>
      <c r="EZ38" s="69"/>
      <c r="FA38" s="69"/>
    </row>
    <row r="39" spans="1:247" x14ac:dyDescent="0.35">
      <c r="A39" s="65" t="str">
        <f t="shared" si="0"/>
        <v/>
      </c>
      <c r="B39" s="68" t="str">
        <f>Stoff!A39</f>
        <v>PAH totalt</v>
      </c>
      <c r="C39" s="67">
        <f t="shared" si="1"/>
        <v>0</v>
      </c>
      <c r="D39" s="55">
        <f t="shared" si="2"/>
        <v>0</v>
      </c>
      <c r="E39" s="55" t="e">
        <f t="shared" si="3"/>
        <v>#DIV/0!</v>
      </c>
      <c r="F39" s="66" t="e">
        <f t="shared" si="4"/>
        <v>#NUM!</v>
      </c>
      <c r="G39" s="56"/>
      <c r="H39" s="56"/>
      <c r="I39" s="56"/>
      <c r="J39" s="56"/>
      <c r="K39" s="56"/>
      <c r="L39" s="56"/>
      <c r="M39" s="56"/>
      <c r="N39" s="56"/>
      <c r="O39" s="56"/>
      <c r="P39" s="56"/>
      <c r="Q39" s="56"/>
      <c r="R39" s="56"/>
      <c r="S39" s="56"/>
      <c r="T39" s="56"/>
      <c r="U39" s="56"/>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69"/>
      <c r="EI39" s="69"/>
      <c r="EJ39" s="69"/>
      <c r="EK39" s="69"/>
      <c r="EL39" s="69"/>
      <c r="EM39" s="69"/>
      <c r="EN39" s="69"/>
      <c r="EO39" s="69"/>
      <c r="EP39" s="69"/>
      <c r="EQ39" s="69"/>
      <c r="ER39" s="69"/>
      <c r="ES39" s="69"/>
      <c r="ET39" s="69"/>
      <c r="EU39" s="69"/>
      <c r="EV39" s="69"/>
      <c r="EW39" s="69"/>
      <c r="EX39" s="69"/>
      <c r="EY39" s="69"/>
      <c r="EZ39" s="69"/>
      <c r="FA39" s="69"/>
    </row>
    <row r="40" spans="1:247" x14ac:dyDescent="0.35">
      <c r="A40" s="65" t="str">
        <f t="shared" si="0"/>
        <v/>
      </c>
      <c r="B40" s="68" t="str">
        <f>Stoff!A40</f>
        <v>Naftalen</v>
      </c>
      <c r="C40" s="67">
        <f t="shared" si="1"/>
        <v>0</v>
      </c>
      <c r="D40" s="55">
        <f t="shared" si="2"/>
        <v>0</v>
      </c>
      <c r="E40" s="55" t="e">
        <f t="shared" si="3"/>
        <v>#DIV/0!</v>
      </c>
      <c r="F40" s="66" t="e">
        <f t="shared" si="4"/>
        <v>#NUM!</v>
      </c>
      <c r="G40" s="56"/>
      <c r="H40" s="56"/>
      <c r="I40" s="56"/>
      <c r="J40" s="56"/>
      <c r="K40" s="56"/>
      <c r="L40" s="56"/>
      <c r="M40" s="56"/>
      <c r="N40" s="56"/>
      <c r="O40" s="56"/>
      <c r="P40" s="56"/>
      <c r="Q40" s="56"/>
      <c r="R40" s="56"/>
      <c r="S40" s="56"/>
      <c r="T40" s="56"/>
      <c r="U40" s="56"/>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69"/>
      <c r="EI40" s="69"/>
      <c r="EJ40" s="69"/>
      <c r="EK40" s="69"/>
      <c r="EL40" s="69"/>
      <c r="EM40" s="69"/>
      <c r="EN40" s="69"/>
      <c r="EO40" s="69"/>
      <c r="EP40" s="69"/>
      <c r="EQ40" s="69"/>
      <c r="ER40" s="69"/>
      <c r="ES40" s="69"/>
      <c r="ET40" s="69"/>
      <c r="EU40" s="69"/>
      <c r="EV40" s="69"/>
      <c r="EW40" s="69"/>
      <c r="EX40" s="69"/>
      <c r="EY40" s="69"/>
      <c r="EZ40" s="69"/>
      <c r="FA40" s="69"/>
    </row>
    <row r="41" spans="1:247" x14ac:dyDescent="0.35">
      <c r="A41" s="65" t="str">
        <f t="shared" si="0"/>
        <v/>
      </c>
      <c r="B41" s="68" t="str">
        <f>Stoff!A41</f>
        <v>Acenaftalen</v>
      </c>
      <c r="C41" s="67">
        <f t="shared" si="1"/>
        <v>0</v>
      </c>
      <c r="D41" s="55">
        <f t="shared" si="2"/>
        <v>0</v>
      </c>
      <c r="E41" s="55" t="e">
        <f t="shared" si="3"/>
        <v>#DIV/0!</v>
      </c>
      <c r="F41" s="66" t="e">
        <f t="shared" si="4"/>
        <v>#NUM!</v>
      </c>
      <c r="G41" s="56"/>
      <c r="H41" s="56"/>
      <c r="I41" s="56"/>
      <c r="J41" s="56"/>
      <c r="K41" s="56"/>
      <c r="L41" s="56"/>
      <c r="M41" s="56"/>
      <c r="N41" s="56"/>
      <c r="O41" s="56"/>
      <c r="P41" s="56"/>
      <c r="Q41" s="56"/>
      <c r="R41" s="56"/>
      <c r="S41" s="56"/>
      <c r="T41" s="56"/>
      <c r="U41" s="56"/>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69"/>
      <c r="EI41" s="69"/>
      <c r="EJ41" s="69"/>
      <c r="EK41" s="69"/>
      <c r="EL41" s="69"/>
      <c r="EM41" s="69"/>
      <c r="EN41" s="69"/>
      <c r="EO41" s="69"/>
      <c r="EP41" s="69"/>
      <c r="EQ41" s="69"/>
      <c r="ER41" s="69"/>
      <c r="ES41" s="69"/>
      <c r="ET41" s="69"/>
      <c r="EU41" s="69"/>
      <c r="EV41" s="69"/>
      <c r="EW41" s="69"/>
      <c r="EX41" s="69"/>
      <c r="EY41" s="69"/>
      <c r="EZ41" s="69"/>
      <c r="FA41" s="69"/>
    </row>
    <row r="42" spans="1:247" x14ac:dyDescent="0.35">
      <c r="A42" s="65" t="str">
        <f t="shared" si="0"/>
        <v/>
      </c>
      <c r="B42" s="68" t="str">
        <f>Stoff!A42</f>
        <v>Acenaften</v>
      </c>
      <c r="C42" s="67">
        <f t="shared" si="1"/>
        <v>0</v>
      </c>
      <c r="D42" s="55">
        <f t="shared" si="2"/>
        <v>0</v>
      </c>
      <c r="E42" s="55" t="e">
        <f t="shared" si="3"/>
        <v>#DIV/0!</v>
      </c>
      <c r="F42" s="66" t="e">
        <f t="shared" si="4"/>
        <v>#NUM!</v>
      </c>
      <c r="G42" s="56"/>
      <c r="H42" s="56"/>
      <c r="I42" s="56"/>
      <c r="J42" s="56"/>
      <c r="K42" s="56"/>
      <c r="L42" s="56"/>
      <c r="M42" s="56"/>
      <c r="N42" s="56"/>
      <c r="O42" s="56"/>
      <c r="P42" s="56"/>
      <c r="Q42" s="56"/>
      <c r="R42" s="56"/>
      <c r="S42" s="56"/>
      <c r="T42" s="56"/>
      <c r="U42" s="56"/>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69"/>
      <c r="EI42" s="69"/>
      <c r="EJ42" s="69"/>
      <c r="EK42" s="69"/>
      <c r="EL42" s="69"/>
      <c r="EM42" s="69"/>
      <c r="EN42" s="69"/>
      <c r="EO42" s="69"/>
      <c r="EP42" s="69"/>
      <c r="EQ42" s="69"/>
      <c r="ER42" s="69"/>
      <c r="ES42" s="69"/>
      <c r="ET42" s="69"/>
      <c r="EU42" s="69"/>
      <c r="EV42" s="69"/>
      <c r="EW42" s="69"/>
      <c r="EX42" s="69"/>
      <c r="EY42" s="69"/>
      <c r="EZ42" s="69"/>
      <c r="FA42" s="69"/>
    </row>
    <row r="43" spans="1:247" x14ac:dyDescent="0.35">
      <c r="A43" s="65" t="str">
        <f t="shared" si="0"/>
        <v/>
      </c>
      <c r="B43" s="68" t="str">
        <f>Stoff!A43</f>
        <v>Fenantren</v>
      </c>
      <c r="C43" s="67">
        <f t="shared" si="1"/>
        <v>0</v>
      </c>
      <c r="D43" s="55">
        <f t="shared" si="2"/>
        <v>0</v>
      </c>
      <c r="E43" s="55" t="e">
        <f t="shared" si="3"/>
        <v>#DIV/0!</v>
      </c>
      <c r="F43" s="66" t="e">
        <f t="shared" si="4"/>
        <v>#NUM!</v>
      </c>
      <c r="G43" s="56"/>
      <c r="H43" s="56"/>
      <c r="I43" s="56"/>
      <c r="J43" s="56"/>
      <c r="K43" s="56"/>
      <c r="L43" s="56"/>
      <c r="M43" s="56"/>
      <c r="N43" s="56"/>
      <c r="O43" s="56"/>
      <c r="P43" s="56"/>
      <c r="Q43" s="56"/>
      <c r="R43" s="56"/>
      <c r="S43" s="56"/>
      <c r="T43" s="56"/>
      <c r="U43" s="56"/>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69"/>
      <c r="EI43" s="69"/>
      <c r="EJ43" s="69"/>
      <c r="EK43" s="69"/>
      <c r="EL43" s="69"/>
      <c r="EM43" s="69"/>
      <c r="EN43" s="69"/>
      <c r="EO43" s="69"/>
      <c r="EP43" s="69"/>
      <c r="EQ43" s="69"/>
      <c r="ER43" s="69"/>
      <c r="ES43" s="69"/>
      <c r="ET43" s="69"/>
      <c r="EU43" s="69"/>
      <c r="EV43" s="69"/>
      <c r="EW43" s="69"/>
      <c r="EX43" s="69"/>
      <c r="EY43" s="69"/>
      <c r="EZ43" s="69"/>
      <c r="FA43" s="69"/>
    </row>
    <row r="44" spans="1:247" x14ac:dyDescent="0.35">
      <c r="A44" s="65" t="str">
        <f t="shared" si="0"/>
        <v/>
      </c>
      <c r="B44" s="68" t="str">
        <f>Stoff!A44</f>
        <v>Antracen</v>
      </c>
      <c r="C44" s="67">
        <f t="shared" si="1"/>
        <v>0</v>
      </c>
      <c r="D44" s="55">
        <f t="shared" si="2"/>
        <v>0</v>
      </c>
      <c r="E44" s="55" t="e">
        <f t="shared" si="3"/>
        <v>#DIV/0!</v>
      </c>
      <c r="F44" s="66" t="e">
        <f t="shared" si="4"/>
        <v>#NUM!</v>
      </c>
      <c r="G44" s="56"/>
      <c r="H44" s="56"/>
      <c r="I44" s="56"/>
      <c r="J44" s="56"/>
      <c r="K44" s="56"/>
      <c r="L44" s="56"/>
      <c r="M44" s="56"/>
      <c r="N44" s="56"/>
      <c r="O44" s="56"/>
      <c r="P44" s="56"/>
      <c r="Q44" s="56"/>
      <c r="R44" s="56"/>
      <c r="S44" s="56"/>
      <c r="T44" s="56"/>
      <c r="U44" s="56"/>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69"/>
      <c r="EI44" s="69"/>
      <c r="EJ44" s="69"/>
      <c r="EK44" s="69"/>
      <c r="EL44" s="69"/>
      <c r="EM44" s="69"/>
      <c r="EN44" s="69"/>
      <c r="EO44" s="69"/>
      <c r="EP44" s="69"/>
      <c r="EQ44" s="69"/>
      <c r="ER44" s="69"/>
      <c r="ES44" s="69"/>
      <c r="ET44" s="69"/>
      <c r="EU44" s="69"/>
      <c r="EV44" s="69"/>
      <c r="EW44" s="69"/>
      <c r="EX44" s="69"/>
      <c r="EY44" s="69"/>
      <c r="EZ44" s="69"/>
      <c r="FA44" s="69"/>
    </row>
    <row r="45" spans="1:247" x14ac:dyDescent="0.35">
      <c r="A45" s="65" t="str">
        <f t="shared" si="0"/>
        <v/>
      </c>
      <c r="B45" s="68" t="str">
        <f>Stoff!A45</f>
        <v>Fluoren</v>
      </c>
      <c r="C45" s="67">
        <f t="shared" si="1"/>
        <v>0</v>
      </c>
      <c r="D45" s="55">
        <f t="shared" si="2"/>
        <v>0</v>
      </c>
      <c r="E45" s="55" t="e">
        <f t="shared" si="3"/>
        <v>#DIV/0!</v>
      </c>
      <c r="F45" s="66" t="e">
        <f t="shared" si="4"/>
        <v>#NUM!</v>
      </c>
      <c r="G45" s="56"/>
      <c r="H45" s="56"/>
      <c r="I45" s="56"/>
      <c r="J45" s="56"/>
      <c r="K45" s="56"/>
      <c r="L45" s="56"/>
      <c r="M45" s="56"/>
      <c r="N45" s="56"/>
      <c r="O45" s="56"/>
      <c r="P45" s="56"/>
      <c r="Q45" s="56"/>
      <c r="R45" s="56"/>
      <c r="S45" s="56"/>
      <c r="T45" s="56"/>
      <c r="U45" s="56"/>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69"/>
      <c r="EI45" s="69"/>
      <c r="EJ45" s="69"/>
      <c r="EK45" s="69"/>
      <c r="EL45" s="69"/>
      <c r="EM45" s="69"/>
      <c r="EN45" s="69"/>
      <c r="EO45" s="69"/>
      <c r="EP45" s="69"/>
      <c r="EQ45" s="69"/>
      <c r="ER45" s="69"/>
      <c r="ES45" s="69"/>
      <c r="ET45" s="69"/>
      <c r="EU45" s="69"/>
      <c r="EV45" s="69"/>
      <c r="EW45" s="69"/>
      <c r="EX45" s="69"/>
      <c r="EY45" s="69"/>
      <c r="EZ45" s="69"/>
      <c r="FA45" s="69"/>
    </row>
    <row r="46" spans="1:247" x14ac:dyDescent="0.35">
      <c r="A46" s="65" t="str">
        <f t="shared" si="0"/>
        <v/>
      </c>
      <c r="B46" s="68" t="str">
        <f>Stoff!A46</f>
        <v>Fluoranten</v>
      </c>
      <c r="C46" s="67">
        <f t="shared" si="1"/>
        <v>0</v>
      </c>
      <c r="D46" s="55">
        <f t="shared" si="2"/>
        <v>0</v>
      </c>
      <c r="E46" s="55" t="e">
        <f t="shared" si="3"/>
        <v>#DIV/0!</v>
      </c>
      <c r="F46" s="66" t="e">
        <f t="shared" si="4"/>
        <v>#NUM!</v>
      </c>
      <c r="G46" s="56"/>
      <c r="H46" s="56"/>
      <c r="I46" s="56"/>
      <c r="J46" s="56"/>
      <c r="K46" s="56"/>
      <c r="L46" s="56"/>
      <c r="M46" s="56"/>
      <c r="N46" s="56"/>
      <c r="O46" s="56"/>
      <c r="P46" s="56"/>
      <c r="Q46" s="56"/>
      <c r="R46" s="56"/>
      <c r="S46" s="56"/>
      <c r="T46" s="56"/>
      <c r="U46" s="56"/>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69"/>
      <c r="EI46" s="69"/>
      <c r="EJ46" s="69"/>
      <c r="EK46" s="69"/>
      <c r="EL46" s="69"/>
      <c r="EM46" s="69"/>
      <c r="EN46" s="69"/>
      <c r="EO46" s="69"/>
      <c r="EP46" s="69"/>
      <c r="EQ46" s="69"/>
      <c r="ER46" s="69"/>
      <c r="ES46" s="69"/>
      <c r="ET46" s="69"/>
      <c r="EU46" s="69"/>
      <c r="EV46" s="69"/>
      <c r="EW46" s="69"/>
      <c r="EX46" s="69"/>
      <c r="EY46" s="69"/>
      <c r="EZ46" s="69"/>
      <c r="FA46" s="69"/>
    </row>
    <row r="47" spans="1:247" x14ac:dyDescent="0.35">
      <c r="A47" s="65" t="str">
        <f t="shared" si="0"/>
        <v/>
      </c>
      <c r="B47" s="68" t="str">
        <f>Stoff!A47</f>
        <v>Pyrene</v>
      </c>
      <c r="C47" s="67">
        <f t="shared" si="1"/>
        <v>0</v>
      </c>
      <c r="D47" s="55">
        <f t="shared" si="2"/>
        <v>0</v>
      </c>
      <c r="E47" s="55" t="e">
        <f t="shared" si="3"/>
        <v>#DIV/0!</v>
      </c>
      <c r="F47" s="66" t="e">
        <f t="shared" si="4"/>
        <v>#NUM!</v>
      </c>
      <c r="G47" s="56"/>
      <c r="H47" s="56"/>
      <c r="I47" s="56"/>
      <c r="J47" s="56"/>
      <c r="K47" s="56"/>
      <c r="L47" s="56"/>
      <c r="M47" s="56"/>
      <c r="N47" s="56"/>
      <c r="O47" s="56"/>
      <c r="P47" s="56"/>
      <c r="Q47" s="56"/>
      <c r="R47" s="56"/>
      <c r="S47" s="56"/>
      <c r="T47" s="56"/>
      <c r="U47" s="56"/>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69"/>
      <c r="EI47" s="69"/>
      <c r="EJ47" s="69"/>
      <c r="EK47" s="69"/>
      <c r="EL47" s="69"/>
      <c r="EM47" s="69"/>
      <c r="EN47" s="69"/>
      <c r="EO47" s="69"/>
      <c r="EP47" s="69"/>
      <c r="EQ47" s="69"/>
      <c r="ER47" s="69"/>
      <c r="ES47" s="69"/>
      <c r="ET47" s="69"/>
      <c r="EU47" s="69"/>
      <c r="EV47" s="69"/>
      <c r="EW47" s="69"/>
      <c r="EX47" s="69"/>
      <c r="EY47" s="69"/>
      <c r="EZ47" s="69"/>
      <c r="FA47" s="69"/>
    </row>
    <row r="48" spans="1:247" x14ac:dyDescent="0.35">
      <c r="A48" s="65" t="str">
        <f t="shared" si="0"/>
        <v/>
      </c>
      <c r="B48" s="68" t="str">
        <f>Stoff!A48</f>
        <v>Benzo(a)antracen</v>
      </c>
      <c r="C48" s="67">
        <f t="shared" si="1"/>
        <v>0</v>
      </c>
      <c r="D48" s="55">
        <f t="shared" si="2"/>
        <v>0</v>
      </c>
      <c r="E48" s="55" t="e">
        <f t="shared" si="3"/>
        <v>#DIV/0!</v>
      </c>
      <c r="F48" s="66" t="e">
        <f t="shared" si="4"/>
        <v>#NUM!</v>
      </c>
      <c r="G48" s="56"/>
      <c r="H48" s="56"/>
      <c r="I48" s="56"/>
      <c r="J48" s="56"/>
      <c r="K48" s="56"/>
      <c r="L48" s="56"/>
      <c r="M48" s="56"/>
      <c r="N48" s="56"/>
      <c r="O48" s="56"/>
      <c r="P48" s="56"/>
      <c r="Q48" s="56"/>
      <c r="R48" s="56"/>
      <c r="S48" s="56"/>
      <c r="T48" s="56"/>
      <c r="U48" s="56"/>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69"/>
      <c r="EI48" s="69"/>
      <c r="EJ48" s="69"/>
      <c r="EK48" s="69"/>
      <c r="EL48" s="69"/>
      <c r="EM48" s="69"/>
      <c r="EN48" s="69"/>
      <c r="EO48" s="69"/>
      <c r="EP48" s="69"/>
      <c r="EQ48" s="69"/>
      <c r="ER48" s="69"/>
      <c r="ES48" s="69"/>
      <c r="ET48" s="69"/>
      <c r="EU48" s="69"/>
      <c r="EV48" s="69"/>
      <c r="EW48" s="69"/>
      <c r="EX48" s="69"/>
      <c r="EY48" s="69"/>
      <c r="EZ48" s="69"/>
      <c r="FA48" s="69"/>
    </row>
    <row r="49" spans="1:157" x14ac:dyDescent="0.35">
      <c r="A49" s="65" t="str">
        <f t="shared" si="0"/>
        <v/>
      </c>
      <c r="B49" s="68" t="str">
        <f>Stoff!A49</f>
        <v>Krysen</v>
      </c>
      <c r="C49" s="67">
        <f t="shared" si="1"/>
        <v>0</v>
      </c>
      <c r="D49" s="55">
        <f t="shared" si="2"/>
        <v>0</v>
      </c>
      <c r="E49" s="55" t="e">
        <f t="shared" si="3"/>
        <v>#DIV/0!</v>
      </c>
      <c r="F49" s="66" t="e">
        <f t="shared" si="4"/>
        <v>#NUM!</v>
      </c>
      <c r="G49" s="56"/>
      <c r="H49" s="56"/>
      <c r="I49" s="56"/>
      <c r="J49" s="56"/>
      <c r="K49" s="56"/>
      <c r="L49" s="56"/>
      <c r="M49" s="56"/>
      <c r="N49" s="56"/>
      <c r="O49" s="56"/>
      <c r="P49" s="56"/>
      <c r="Q49" s="56"/>
      <c r="R49" s="56"/>
      <c r="S49" s="56"/>
      <c r="T49" s="56"/>
      <c r="U49" s="56"/>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69"/>
      <c r="EI49" s="69"/>
      <c r="EJ49" s="69"/>
      <c r="EK49" s="69"/>
      <c r="EL49" s="69"/>
      <c r="EM49" s="69"/>
      <c r="EN49" s="69"/>
      <c r="EO49" s="69"/>
      <c r="EP49" s="69"/>
      <c r="EQ49" s="69"/>
      <c r="ER49" s="69"/>
      <c r="ES49" s="69"/>
      <c r="ET49" s="69"/>
      <c r="EU49" s="69"/>
      <c r="EV49" s="69"/>
      <c r="EW49" s="69"/>
      <c r="EX49" s="69"/>
      <c r="EY49" s="69"/>
      <c r="EZ49" s="69"/>
      <c r="FA49" s="69"/>
    </row>
    <row r="50" spans="1:157" x14ac:dyDescent="0.35">
      <c r="A50" s="65" t="str">
        <f t="shared" si="0"/>
        <v/>
      </c>
      <c r="B50" s="68" t="str">
        <f>Stoff!A50</f>
        <v>Benzo(b)fluoranten</v>
      </c>
      <c r="C50" s="67">
        <f t="shared" si="1"/>
        <v>0</v>
      </c>
      <c r="D50" s="55">
        <f t="shared" si="2"/>
        <v>0</v>
      </c>
      <c r="E50" s="55" t="e">
        <f t="shared" si="3"/>
        <v>#DIV/0!</v>
      </c>
      <c r="F50" s="66" t="e">
        <f t="shared" si="4"/>
        <v>#NUM!</v>
      </c>
      <c r="G50" s="56"/>
      <c r="H50" s="56"/>
      <c r="I50" s="56"/>
      <c r="J50" s="56"/>
      <c r="K50" s="56"/>
      <c r="L50" s="56"/>
      <c r="M50" s="56"/>
      <c r="N50" s="56"/>
      <c r="O50" s="56"/>
      <c r="P50" s="56"/>
      <c r="Q50" s="56"/>
      <c r="R50" s="56"/>
      <c r="S50" s="56"/>
      <c r="T50" s="56"/>
      <c r="U50" s="56"/>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69"/>
      <c r="EI50" s="69"/>
      <c r="EJ50" s="69"/>
      <c r="EK50" s="69"/>
      <c r="EL50" s="69"/>
      <c r="EM50" s="69"/>
      <c r="EN50" s="69"/>
      <c r="EO50" s="69"/>
      <c r="EP50" s="69"/>
      <c r="EQ50" s="69"/>
      <c r="ER50" s="69"/>
      <c r="ES50" s="69"/>
      <c r="ET50" s="69"/>
      <c r="EU50" s="69"/>
      <c r="EV50" s="69"/>
      <c r="EW50" s="69"/>
      <c r="EX50" s="69"/>
      <c r="EY50" s="69"/>
      <c r="EZ50" s="69"/>
      <c r="FA50" s="69"/>
    </row>
    <row r="51" spans="1:157" x14ac:dyDescent="0.35">
      <c r="A51" s="65" t="str">
        <f t="shared" si="0"/>
        <v/>
      </c>
      <c r="B51" s="68" t="str">
        <f>Stoff!A51</f>
        <v>Benzo(k)fluoranten</v>
      </c>
      <c r="C51" s="67">
        <f t="shared" si="1"/>
        <v>0</v>
      </c>
      <c r="D51" s="55">
        <f t="shared" si="2"/>
        <v>0</v>
      </c>
      <c r="E51" s="55" t="e">
        <f t="shared" si="3"/>
        <v>#DIV/0!</v>
      </c>
      <c r="F51" s="66" t="e">
        <f t="shared" si="4"/>
        <v>#NUM!</v>
      </c>
      <c r="G51" s="56"/>
      <c r="H51" s="56"/>
      <c r="I51" s="56"/>
      <c r="J51" s="56"/>
      <c r="K51" s="56"/>
      <c r="L51" s="56"/>
      <c r="M51" s="56"/>
      <c r="N51" s="56"/>
      <c r="O51" s="56"/>
      <c r="P51" s="56"/>
      <c r="Q51" s="56"/>
      <c r="R51" s="56"/>
      <c r="S51" s="56"/>
      <c r="T51" s="56"/>
      <c r="U51" s="56"/>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69"/>
      <c r="EI51" s="69"/>
      <c r="EJ51" s="69"/>
      <c r="EK51" s="69"/>
      <c r="EL51" s="69"/>
      <c r="EM51" s="69"/>
      <c r="EN51" s="69"/>
      <c r="EO51" s="69"/>
      <c r="EP51" s="69"/>
      <c r="EQ51" s="69"/>
      <c r="ER51" s="69"/>
      <c r="ES51" s="69"/>
      <c r="ET51" s="69"/>
      <c r="EU51" s="69"/>
      <c r="EV51" s="69"/>
      <c r="EW51" s="69"/>
      <c r="EX51" s="69"/>
      <c r="EY51" s="69"/>
      <c r="EZ51" s="69"/>
      <c r="FA51" s="69"/>
    </row>
    <row r="52" spans="1:157" x14ac:dyDescent="0.35">
      <c r="A52" s="65" t="str">
        <f t="shared" si="0"/>
        <v/>
      </c>
      <c r="B52" s="68" t="str">
        <f>Stoff!A52</f>
        <v>Benso(a)pyren</v>
      </c>
      <c r="C52" s="67">
        <f t="shared" si="1"/>
        <v>0</v>
      </c>
      <c r="D52" s="55">
        <f t="shared" si="2"/>
        <v>0</v>
      </c>
      <c r="E52" s="55" t="e">
        <f t="shared" si="3"/>
        <v>#DIV/0!</v>
      </c>
      <c r="F52" s="66" t="e">
        <f t="shared" si="4"/>
        <v>#NUM!</v>
      </c>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row>
    <row r="53" spans="1:157" x14ac:dyDescent="0.35">
      <c r="A53" s="65" t="str">
        <f t="shared" si="0"/>
        <v/>
      </c>
      <c r="B53" s="68" t="str">
        <f>Stoff!A53</f>
        <v>Indeno(1,2,3-cd)pyren</v>
      </c>
      <c r="C53" s="67">
        <f t="shared" si="1"/>
        <v>0</v>
      </c>
      <c r="D53" s="55">
        <f t="shared" si="2"/>
        <v>0</v>
      </c>
      <c r="E53" s="55" t="e">
        <f t="shared" si="3"/>
        <v>#DIV/0!</v>
      </c>
      <c r="F53" s="66" t="e">
        <f t="shared" si="4"/>
        <v>#NUM!</v>
      </c>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row>
    <row r="54" spans="1:157" x14ac:dyDescent="0.35">
      <c r="A54" s="65" t="str">
        <f t="shared" si="0"/>
        <v/>
      </c>
      <c r="B54" s="68" t="str">
        <f>Stoff!A54</f>
        <v>Dibenzo(a,h)antracen</v>
      </c>
      <c r="C54" s="67">
        <f t="shared" si="1"/>
        <v>0</v>
      </c>
      <c r="D54" s="55">
        <f t="shared" si="2"/>
        <v>0</v>
      </c>
      <c r="E54" s="55" t="e">
        <f t="shared" si="3"/>
        <v>#DIV/0!</v>
      </c>
      <c r="F54" s="66" t="e">
        <f t="shared" si="4"/>
        <v>#NUM!</v>
      </c>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row>
    <row r="55" spans="1:157" x14ac:dyDescent="0.35">
      <c r="A55" s="65" t="str">
        <f t="shared" si="0"/>
        <v/>
      </c>
      <c r="B55" s="68" t="str">
        <f>Stoff!A55</f>
        <v>Benzo(g,h,i)perylen</v>
      </c>
      <c r="C55" s="67">
        <f t="shared" si="1"/>
        <v>0</v>
      </c>
      <c r="D55" s="55">
        <f t="shared" si="2"/>
        <v>0</v>
      </c>
      <c r="E55" s="55" t="e">
        <f t="shared" si="3"/>
        <v>#DIV/0!</v>
      </c>
      <c r="F55" s="66" t="e">
        <f t="shared" si="4"/>
        <v>#NUM!</v>
      </c>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row>
    <row r="56" spans="1:157" x14ac:dyDescent="0.35">
      <c r="A56" s="65" t="str">
        <f t="shared" si="0"/>
        <v/>
      </c>
      <c r="B56" s="68" t="str">
        <f>Stoff!A56</f>
        <v>Bensen</v>
      </c>
      <c r="C56" s="67">
        <f t="shared" si="1"/>
        <v>0</v>
      </c>
      <c r="D56" s="55">
        <f t="shared" si="2"/>
        <v>0</v>
      </c>
      <c r="E56" s="55" t="e">
        <f t="shared" si="3"/>
        <v>#DIV/0!</v>
      </c>
      <c r="F56" s="66" t="e">
        <f t="shared" si="4"/>
        <v>#NUM!</v>
      </c>
      <c r="G56" s="118"/>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row>
    <row r="57" spans="1:157" x14ac:dyDescent="0.35">
      <c r="A57" s="65" t="str">
        <f t="shared" si="0"/>
        <v/>
      </c>
      <c r="B57" s="68" t="str">
        <f>Stoff!A57</f>
        <v>Toluen</v>
      </c>
      <c r="C57" s="67">
        <f t="shared" si="1"/>
        <v>0</v>
      </c>
      <c r="D57" s="55">
        <f t="shared" si="2"/>
        <v>0</v>
      </c>
      <c r="E57" s="55" t="e">
        <f t="shared" si="3"/>
        <v>#DIV/0!</v>
      </c>
      <c r="F57" s="66" t="e">
        <f t="shared" si="4"/>
        <v>#NUM!</v>
      </c>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row>
    <row r="58" spans="1:157" x14ac:dyDescent="0.35">
      <c r="A58" s="65" t="str">
        <f t="shared" si="0"/>
        <v/>
      </c>
      <c r="B58" s="68" t="str">
        <f>Stoff!A58</f>
        <v>Etylbensen</v>
      </c>
      <c r="C58" s="67">
        <f t="shared" si="1"/>
        <v>0</v>
      </c>
      <c r="D58" s="55">
        <f t="shared" si="2"/>
        <v>0</v>
      </c>
      <c r="E58" s="55" t="e">
        <f t="shared" si="3"/>
        <v>#DIV/0!</v>
      </c>
      <c r="F58" s="66" t="e">
        <f t="shared" si="4"/>
        <v>#NUM!</v>
      </c>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row>
    <row r="59" spans="1:157" x14ac:dyDescent="0.35">
      <c r="A59" s="65" t="str">
        <f t="shared" si="0"/>
        <v/>
      </c>
      <c r="B59" s="68" t="str">
        <f>Stoff!A59</f>
        <v>Xylen</v>
      </c>
      <c r="C59" s="67">
        <f t="shared" si="1"/>
        <v>0</v>
      </c>
      <c r="D59" s="55">
        <f t="shared" si="2"/>
        <v>0</v>
      </c>
      <c r="E59" s="55" t="e">
        <f t="shared" si="3"/>
        <v>#DIV/0!</v>
      </c>
      <c r="F59" s="66" t="e">
        <f t="shared" si="4"/>
        <v>#NUM!</v>
      </c>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row>
    <row r="60" spans="1:157" x14ac:dyDescent="0.35">
      <c r="A60" s="65" t="str">
        <f t="shared" si="0"/>
        <v/>
      </c>
      <c r="B60" s="68" t="str">
        <f>Stoff!A60</f>
        <v>Alifater  C5-C6</v>
      </c>
      <c r="C60" s="67">
        <f t="shared" si="1"/>
        <v>0</v>
      </c>
      <c r="D60" s="55">
        <f t="shared" si="2"/>
        <v>0</v>
      </c>
      <c r="E60" s="55" t="e">
        <f t="shared" si="3"/>
        <v>#DIV/0!</v>
      </c>
      <c r="F60" s="66" t="e">
        <f t="shared" si="4"/>
        <v>#NUM!</v>
      </c>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row>
    <row r="61" spans="1:157" x14ac:dyDescent="0.35">
      <c r="A61" s="65" t="str">
        <f t="shared" si="0"/>
        <v/>
      </c>
      <c r="B61" s="68" t="str">
        <f>Stoff!A61</f>
        <v>Alifater &gt; C6-C8</v>
      </c>
      <c r="C61" s="67">
        <f t="shared" si="1"/>
        <v>0</v>
      </c>
      <c r="D61" s="55">
        <f t="shared" si="2"/>
        <v>0</v>
      </c>
      <c r="E61" s="55" t="e">
        <f t="shared" si="3"/>
        <v>#DIV/0!</v>
      </c>
      <c r="F61" s="66" t="e">
        <f t="shared" si="4"/>
        <v>#NUM!</v>
      </c>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row>
    <row r="62" spans="1:157" x14ac:dyDescent="0.35">
      <c r="A62" s="65" t="str">
        <f t="shared" si="0"/>
        <v/>
      </c>
      <c r="B62" s="68" t="str">
        <f>Stoff!A62</f>
        <v>Alifater &gt; C8-C10</v>
      </c>
      <c r="C62" s="67">
        <f t="shared" si="1"/>
        <v>0</v>
      </c>
      <c r="D62" s="55">
        <f t="shared" si="2"/>
        <v>0</v>
      </c>
      <c r="E62" s="55" t="e">
        <f t="shared" si="3"/>
        <v>#DIV/0!</v>
      </c>
      <c r="F62" s="66" t="e">
        <f t="shared" si="4"/>
        <v>#NUM!</v>
      </c>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row>
    <row r="63" spans="1:157" x14ac:dyDescent="0.35">
      <c r="A63" s="65" t="str">
        <f t="shared" si="0"/>
        <v/>
      </c>
      <c r="B63" s="68" t="str">
        <f>Stoff!A63</f>
        <v>Sum alifater &gt; C5-C10</v>
      </c>
      <c r="C63" s="67">
        <f t="shared" si="1"/>
        <v>0</v>
      </c>
      <c r="D63" s="55">
        <f t="shared" si="2"/>
        <v>0</v>
      </c>
      <c r="E63" s="55" t="e">
        <f t="shared" si="3"/>
        <v>#DIV/0!</v>
      </c>
      <c r="F63" s="66" t="e">
        <f t="shared" si="4"/>
        <v>#NUM!</v>
      </c>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c r="EO63" s="56"/>
      <c r="EP63" s="56"/>
      <c r="EQ63" s="56"/>
      <c r="ER63" s="56"/>
      <c r="ES63" s="56"/>
      <c r="ET63" s="56"/>
      <c r="EU63" s="56"/>
      <c r="EV63" s="56"/>
      <c r="EW63" s="56"/>
      <c r="EX63" s="56"/>
      <c r="EY63" s="56"/>
      <c r="EZ63" s="56"/>
      <c r="FA63" s="56"/>
    </row>
    <row r="64" spans="1:157" x14ac:dyDescent="0.35">
      <c r="A64" s="65" t="str">
        <f t="shared" si="0"/>
        <v/>
      </c>
      <c r="B64" s="68" t="str">
        <f>Stoff!A64</f>
        <v>Alifater &gt;C10-C12</v>
      </c>
      <c r="C64" s="67">
        <f t="shared" si="1"/>
        <v>0</v>
      </c>
      <c r="D64" s="55">
        <f t="shared" si="2"/>
        <v>0</v>
      </c>
      <c r="E64" s="55" t="e">
        <f t="shared" si="3"/>
        <v>#DIV/0!</v>
      </c>
      <c r="F64" s="66" t="e">
        <f t="shared" si="4"/>
        <v>#NUM!</v>
      </c>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c r="ER64" s="56"/>
      <c r="ES64" s="56"/>
      <c r="ET64" s="56"/>
      <c r="EU64" s="56"/>
      <c r="EV64" s="56"/>
      <c r="EW64" s="56"/>
      <c r="EX64" s="56"/>
      <c r="EY64" s="56"/>
      <c r="EZ64" s="56"/>
      <c r="FA64" s="56"/>
    </row>
    <row r="65" spans="1:157" x14ac:dyDescent="0.35">
      <c r="A65" s="65" t="str">
        <f t="shared" si="0"/>
        <v/>
      </c>
      <c r="B65" s="68" t="str">
        <f>Stoff!A65</f>
        <v>Alifater &gt;C12-C35</v>
      </c>
      <c r="C65" s="67">
        <f t="shared" si="1"/>
        <v>0</v>
      </c>
      <c r="D65" s="55">
        <f t="shared" si="2"/>
        <v>0</v>
      </c>
      <c r="E65" s="55" t="e">
        <f t="shared" si="3"/>
        <v>#DIV/0!</v>
      </c>
      <c r="F65" s="66" t="e">
        <f t="shared" si="4"/>
        <v>#NUM!</v>
      </c>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c r="EO65" s="56"/>
      <c r="EP65" s="56"/>
      <c r="EQ65" s="56"/>
      <c r="ER65" s="56"/>
      <c r="ES65" s="56"/>
      <c r="ET65" s="56"/>
      <c r="EU65" s="56"/>
      <c r="EV65" s="56"/>
      <c r="EW65" s="56"/>
      <c r="EX65" s="56"/>
      <c r="EY65" s="56"/>
      <c r="EZ65" s="56"/>
      <c r="FA65" s="56"/>
    </row>
    <row r="66" spans="1:157" x14ac:dyDescent="0.35">
      <c r="A66" s="65" t="str">
        <f t="shared" si="0"/>
        <v/>
      </c>
      <c r="B66" s="68" t="str">
        <f>Stoff!A66</f>
        <v>MTBE</v>
      </c>
      <c r="C66" s="67">
        <f t="shared" si="1"/>
        <v>0</v>
      </c>
      <c r="D66" s="55">
        <f t="shared" si="2"/>
        <v>0</v>
      </c>
      <c r="E66" s="55" t="e">
        <f t="shared" si="3"/>
        <v>#DIV/0!</v>
      </c>
      <c r="F66" s="66" t="e">
        <f t="shared" si="4"/>
        <v>#NUM!</v>
      </c>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row>
    <row r="67" spans="1:157" x14ac:dyDescent="0.35">
      <c r="A67" s="65" t="str">
        <f t="shared" si="0"/>
        <v/>
      </c>
      <c r="B67" s="68" t="str">
        <f>Stoff!A67</f>
        <v>Tetraetylbly</v>
      </c>
      <c r="C67" s="67">
        <f t="shared" si="1"/>
        <v>0</v>
      </c>
      <c r="D67" s="55">
        <f t="shared" si="2"/>
        <v>0</v>
      </c>
      <c r="E67" s="55" t="e">
        <f t="shared" si="3"/>
        <v>#DIV/0!</v>
      </c>
      <c r="F67" s="66" t="e">
        <f t="shared" si="4"/>
        <v>#NUM!</v>
      </c>
      <c r="G67" s="118"/>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row>
    <row r="68" spans="1:157" x14ac:dyDescent="0.35">
      <c r="A68" s="65" t="str">
        <f t="shared" ref="A68:A85" si="5">IF(C68&gt;0,"x","")</f>
        <v/>
      </c>
      <c r="B68" s="68" t="str">
        <f>Stoff!A68</f>
        <v>PBDE-99</v>
      </c>
      <c r="C68" s="67">
        <f t="shared" ref="C68:C85" si="6">COUNT(G68:IV68)</f>
        <v>0</v>
      </c>
      <c r="D68" s="55">
        <f t="shared" ref="D68:D85" si="7">MAXA(G68:IV68)</f>
        <v>0</v>
      </c>
      <c r="E68" s="55" t="e">
        <f t="shared" ref="E68:E85" si="8">AVERAGE(G68:IV68)</f>
        <v>#DIV/0!</v>
      </c>
      <c r="F68" s="66" t="e">
        <f t="shared" ref="F68:F85" si="9">D68/MEDIAN(G68:IV68)</f>
        <v>#NUM!</v>
      </c>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row>
    <row r="69" spans="1:157" x14ac:dyDescent="0.35">
      <c r="A69" s="65" t="str">
        <f t="shared" si="5"/>
        <v/>
      </c>
      <c r="B69" s="68" t="str">
        <f>Stoff!A69</f>
        <v>PBDE-154</v>
      </c>
      <c r="C69" s="67">
        <f t="shared" si="6"/>
        <v>0</v>
      </c>
      <c r="D69" s="55">
        <f t="shared" si="7"/>
        <v>0</v>
      </c>
      <c r="E69" s="55" t="e">
        <f t="shared" si="8"/>
        <v>#DIV/0!</v>
      </c>
      <c r="F69" s="66" t="e">
        <f t="shared" si="9"/>
        <v>#NUM!</v>
      </c>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row>
    <row r="70" spans="1:157" x14ac:dyDescent="0.35">
      <c r="A70" s="65" t="str">
        <f t="shared" si="5"/>
        <v/>
      </c>
      <c r="B70" s="68" t="str">
        <f>Stoff!A70</f>
        <v>PBDE-209</v>
      </c>
      <c r="C70" s="67">
        <f t="shared" si="6"/>
        <v>0</v>
      </c>
      <c r="D70" s="55">
        <f t="shared" si="7"/>
        <v>0</v>
      </c>
      <c r="E70" s="55" t="e">
        <f t="shared" si="8"/>
        <v>#DIV/0!</v>
      </c>
      <c r="F70" s="66" t="e">
        <f t="shared" si="9"/>
        <v>#NUM!</v>
      </c>
      <c r="G70" s="118"/>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row>
    <row r="71" spans="1:157" x14ac:dyDescent="0.35">
      <c r="A71" s="65" t="str">
        <f t="shared" si="5"/>
        <v/>
      </c>
      <c r="B71" s="68" t="str">
        <f>Stoff!A71</f>
        <v>HBCDD</v>
      </c>
      <c r="C71" s="67">
        <f t="shared" si="6"/>
        <v>0</v>
      </c>
      <c r="D71" s="55">
        <f t="shared" si="7"/>
        <v>0</v>
      </c>
      <c r="E71" s="55" t="e">
        <f t="shared" si="8"/>
        <v>#DIV/0!</v>
      </c>
      <c r="F71" s="66" t="e">
        <f t="shared" si="9"/>
        <v>#NUM!</v>
      </c>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row>
    <row r="72" spans="1:157" x14ac:dyDescent="0.35">
      <c r="A72" s="65" t="str">
        <f t="shared" si="5"/>
        <v/>
      </c>
      <c r="B72" s="68" t="str">
        <f>Stoff!A72</f>
        <v>Tetrabrombisfenol A</v>
      </c>
      <c r="C72" s="67">
        <f t="shared" si="6"/>
        <v>0</v>
      </c>
      <c r="D72" s="55">
        <f t="shared" si="7"/>
        <v>0</v>
      </c>
      <c r="E72" s="55" t="e">
        <f t="shared" si="8"/>
        <v>#DIV/0!</v>
      </c>
      <c r="F72" s="66" t="e">
        <f t="shared" si="9"/>
        <v>#NUM!</v>
      </c>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row>
    <row r="73" spans="1:157" x14ac:dyDescent="0.35">
      <c r="A73" s="65" t="str">
        <f t="shared" si="5"/>
        <v/>
      </c>
      <c r="B73" s="68" t="str">
        <f>Stoff!A73</f>
        <v>Bisfenol A</v>
      </c>
      <c r="C73" s="67">
        <f t="shared" si="6"/>
        <v>0</v>
      </c>
      <c r="D73" s="55">
        <f t="shared" si="7"/>
        <v>0</v>
      </c>
      <c r="E73" s="55" t="e">
        <f t="shared" si="8"/>
        <v>#DIV/0!</v>
      </c>
      <c r="F73" s="66" t="e">
        <f t="shared" si="9"/>
        <v>#NUM!</v>
      </c>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row>
    <row r="74" spans="1:157" x14ac:dyDescent="0.35">
      <c r="A74" s="65" t="str">
        <f t="shared" si="5"/>
        <v/>
      </c>
      <c r="B74" s="68" t="str">
        <f>Stoff!A74</f>
        <v>PFOS</v>
      </c>
      <c r="C74" s="67">
        <f t="shared" si="6"/>
        <v>0</v>
      </c>
      <c r="D74" s="55">
        <f t="shared" si="7"/>
        <v>0</v>
      </c>
      <c r="E74" s="55" t="e">
        <f t="shared" si="8"/>
        <v>#DIV/0!</v>
      </c>
      <c r="F74" s="66" t="e">
        <f t="shared" si="9"/>
        <v>#NUM!</v>
      </c>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56"/>
      <c r="FA74" s="56"/>
    </row>
    <row r="75" spans="1:157" x14ac:dyDescent="0.35">
      <c r="A75" s="65" t="str">
        <f t="shared" si="5"/>
        <v/>
      </c>
      <c r="B75" s="68" t="str">
        <f>Stoff!A75</f>
        <v>Nonylfenol</v>
      </c>
      <c r="C75" s="67">
        <f t="shared" si="6"/>
        <v>0</v>
      </c>
      <c r="D75" s="55">
        <f t="shared" si="7"/>
        <v>0</v>
      </c>
      <c r="E75" s="55" t="e">
        <f t="shared" si="8"/>
        <v>#DIV/0!</v>
      </c>
      <c r="F75" s="66" t="e">
        <f t="shared" si="9"/>
        <v>#NUM!</v>
      </c>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c r="ET75" s="56"/>
      <c r="EU75" s="56"/>
      <c r="EV75" s="56"/>
      <c r="EW75" s="56"/>
      <c r="EX75" s="56"/>
      <c r="EY75" s="56"/>
      <c r="EZ75" s="56"/>
      <c r="FA75" s="56"/>
    </row>
    <row r="76" spans="1:157" x14ac:dyDescent="0.35">
      <c r="A76" s="65" t="str">
        <f t="shared" si="5"/>
        <v/>
      </c>
      <c r="B76" s="68" t="str">
        <f>Stoff!A76</f>
        <v>Nonylfenoletoksilat</v>
      </c>
      <c r="C76" s="67">
        <f t="shared" si="6"/>
        <v>0</v>
      </c>
      <c r="D76" s="55">
        <f t="shared" si="7"/>
        <v>0</v>
      </c>
      <c r="E76" s="55" t="e">
        <f t="shared" si="8"/>
        <v>#DIV/0!</v>
      </c>
      <c r="F76" s="66" t="e">
        <f t="shared" si="9"/>
        <v>#NUM!</v>
      </c>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row>
    <row r="77" spans="1:157" x14ac:dyDescent="0.35">
      <c r="A77" s="65" t="str">
        <f t="shared" si="5"/>
        <v/>
      </c>
      <c r="B77" s="68" t="str">
        <f>Stoff!A77</f>
        <v>Oktylfenol</v>
      </c>
      <c r="C77" s="67">
        <f t="shared" si="6"/>
        <v>0</v>
      </c>
      <c r="D77" s="55">
        <f t="shared" si="7"/>
        <v>0</v>
      </c>
      <c r="E77" s="55" t="e">
        <f t="shared" si="8"/>
        <v>#DIV/0!</v>
      </c>
      <c r="F77" s="66" t="e">
        <f t="shared" si="9"/>
        <v>#NUM!</v>
      </c>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row>
    <row r="78" spans="1:157" x14ac:dyDescent="0.35">
      <c r="A78" s="65" t="str">
        <f t="shared" si="5"/>
        <v/>
      </c>
      <c r="B78" s="68" t="str">
        <f>Stoff!A78</f>
        <v>Oktylfenoletoksilat</v>
      </c>
      <c r="C78" s="67">
        <f t="shared" si="6"/>
        <v>0</v>
      </c>
      <c r="D78" s="55">
        <f t="shared" si="7"/>
        <v>0</v>
      </c>
      <c r="E78" s="55" t="e">
        <f t="shared" si="8"/>
        <v>#DIV/0!</v>
      </c>
      <c r="F78" s="66" t="e">
        <f t="shared" si="9"/>
        <v>#NUM!</v>
      </c>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row>
    <row r="79" spans="1:157" x14ac:dyDescent="0.35">
      <c r="A79" s="65" t="str">
        <f>IF(C79&gt;0,"x","")</f>
        <v/>
      </c>
      <c r="B79" s="68" t="str">
        <f>Stoff!A79</f>
        <v>TBT-oksid</v>
      </c>
      <c r="C79" s="67">
        <f>COUNT(G79:IV79)</f>
        <v>0</v>
      </c>
      <c r="D79" s="55">
        <f>MAXA(G79:IV79)</f>
        <v>0</v>
      </c>
      <c r="E79" s="55" t="e">
        <f>AVERAGE(G79:IV79)</f>
        <v>#DIV/0!</v>
      </c>
      <c r="F79" s="66" t="e">
        <f>D79/MEDIAN(G79:IV79)</f>
        <v>#NUM!</v>
      </c>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row>
    <row r="80" spans="1:157" x14ac:dyDescent="0.35">
      <c r="A80" s="65" t="str">
        <f t="shared" si="5"/>
        <v/>
      </c>
      <c r="B80" s="68" t="str">
        <f>Stoff!A80</f>
        <v>Trifenyltinnklorid</v>
      </c>
      <c r="C80" s="67">
        <f t="shared" si="6"/>
        <v>0</v>
      </c>
      <c r="D80" s="55">
        <f t="shared" si="7"/>
        <v>0</v>
      </c>
      <c r="E80" s="55" t="e">
        <f t="shared" si="8"/>
        <v>#DIV/0!</v>
      </c>
      <c r="F80" s="66" t="e">
        <f t="shared" si="9"/>
        <v>#NUM!</v>
      </c>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row>
    <row r="81" spans="1:157" x14ac:dyDescent="0.35">
      <c r="A81" s="65" t="str">
        <f t="shared" si="5"/>
        <v/>
      </c>
      <c r="B81" s="68" t="str">
        <f>Stoff!A81</f>
        <v>Di(2-etylheksyl)ftalat</v>
      </c>
      <c r="C81" s="67">
        <f t="shared" si="6"/>
        <v>0</v>
      </c>
      <c r="D81" s="55">
        <f t="shared" si="7"/>
        <v>0</v>
      </c>
      <c r="E81" s="55" t="e">
        <f t="shared" si="8"/>
        <v>#DIV/0!</v>
      </c>
      <c r="F81" s="66" t="e">
        <f t="shared" si="9"/>
        <v>#NUM!</v>
      </c>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row>
    <row r="82" spans="1:157" x14ac:dyDescent="0.35">
      <c r="A82" s="65" t="str">
        <f t="shared" si="5"/>
        <v/>
      </c>
      <c r="B82" s="68" t="str">
        <f>Stoff!A82</f>
        <v>Mellomkjedete kl. paraf.</v>
      </c>
      <c r="C82" s="67">
        <f t="shared" si="6"/>
        <v>0</v>
      </c>
      <c r="D82" s="55">
        <f t="shared" si="7"/>
        <v>0</v>
      </c>
      <c r="E82" s="55" t="e">
        <f t="shared" si="8"/>
        <v>#DIV/0!</v>
      </c>
      <c r="F82" s="66" t="e">
        <f t="shared" si="9"/>
        <v>#NUM!</v>
      </c>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row>
    <row r="83" spans="1:157" x14ac:dyDescent="0.35">
      <c r="A83" s="65" t="str">
        <f t="shared" si="5"/>
        <v/>
      </c>
      <c r="B83" s="68" t="str">
        <f>Stoff!A83</f>
        <v>Kortkjedete kl. paraf.</v>
      </c>
      <c r="C83" s="67">
        <f t="shared" si="6"/>
        <v>0</v>
      </c>
      <c r="D83" s="55">
        <f t="shared" si="7"/>
        <v>0</v>
      </c>
      <c r="E83" s="55" t="e">
        <f t="shared" si="8"/>
        <v>#DIV/0!</v>
      </c>
      <c r="F83" s="66" t="e">
        <f t="shared" si="9"/>
        <v>#NUM!</v>
      </c>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row>
    <row r="84" spans="1:157" x14ac:dyDescent="0.35">
      <c r="A84" s="65" t="str">
        <f t="shared" si="5"/>
        <v/>
      </c>
      <c r="B84" s="68" t="str">
        <f>Stoff!A84</f>
        <v>Polyklorerte naftalener</v>
      </c>
      <c r="C84" s="67">
        <f t="shared" si="6"/>
        <v>0</v>
      </c>
      <c r="D84" s="55">
        <f t="shared" si="7"/>
        <v>0</v>
      </c>
      <c r="E84" s="55" t="e">
        <f t="shared" si="8"/>
        <v>#DIV/0!</v>
      </c>
      <c r="F84" s="66" t="e">
        <f t="shared" si="9"/>
        <v>#NUM!</v>
      </c>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row>
    <row r="85" spans="1:157" x14ac:dyDescent="0.35">
      <c r="A85" s="65" t="str">
        <f t="shared" si="5"/>
        <v/>
      </c>
      <c r="B85" s="68" t="str">
        <f>Stoff!A85</f>
        <v>Trikresylfosfat</v>
      </c>
      <c r="C85" s="67">
        <f t="shared" si="6"/>
        <v>0</v>
      </c>
      <c r="D85" s="55">
        <f t="shared" si="7"/>
        <v>0</v>
      </c>
      <c r="E85" s="55" t="e">
        <f t="shared" si="8"/>
        <v>#DIV/0!</v>
      </c>
      <c r="F85" s="66" t="e">
        <f t="shared" si="9"/>
        <v>#NUM!</v>
      </c>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row>
    <row r="86" spans="1:157" x14ac:dyDescent="0.35">
      <c r="A86" s="65" t="str">
        <f>IF(C86&gt;0,"x","")</f>
        <v/>
      </c>
      <c r="B86" s="68" t="str">
        <f>Stoff!A86</f>
        <v>Dioksin (TCDD-ekv.)</v>
      </c>
      <c r="C86" s="67">
        <f>COUNT(G86:IV86)</f>
        <v>0</v>
      </c>
      <c r="D86" s="55">
        <f>MAXA(G86:IV86)</f>
        <v>0</v>
      </c>
      <c r="E86" s="55" t="e">
        <f>AVERAGE(G86:IV86)</f>
        <v>#DIV/0!</v>
      </c>
      <c r="F86" s="66" t="e">
        <f>D86/MEDIAN(G86:IV86)</f>
        <v>#NUM!</v>
      </c>
      <c r="G86" s="119"/>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c r="ED86" s="56"/>
      <c r="EE86" s="56"/>
      <c r="EF86" s="56"/>
      <c r="EG86" s="56"/>
      <c r="EH86" s="56"/>
      <c r="EI86" s="56"/>
      <c r="EJ86" s="56"/>
      <c r="EK86" s="56"/>
      <c r="EL86" s="56"/>
      <c r="EM86" s="56"/>
      <c r="EN86" s="56"/>
      <c r="EO86" s="56"/>
      <c r="EP86" s="56"/>
      <c r="EQ86" s="56"/>
      <c r="ER86" s="56"/>
      <c r="ES86" s="56"/>
      <c r="ET86" s="56"/>
      <c r="EU86" s="56"/>
      <c r="EV86" s="56"/>
      <c r="EW86" s="56"/>
      <c r="EX86" s="56"/>
      <c r="EY86" s="56"/>
      <c r="EZ86" s="56"/>
      <c r="FA86" s="56"/>
    </row>
    <row r="87" spans="1:157" x14ac:dyDescent="0.35">
      <c r="A87" s="65" t="str">
        <f t="shared" ref="A87:A114" si="10">IF(C87&gt;0,"x","")</f>
        <v/>
      </c>
      <c r="B87" s="68" t="str">
        <f>Stoff!A87</f>
        <v>nystoff 1</v>
      </c>
      <c r="C87" s="67">
        <f t="shared" ref="C87:C114" si="11">COUNT(G87:IV87)</f>
        <v>0</v>
      </c>
      <c r="D87" s="55">
        <f t="shared" ref="D87:D114" si="12">MAXA(G87:IV87)</f>
        <v>0</v>
      </c>
      <c r="E87" s="55" t="e">
        <f t="shared" ref="E87:E114" si="13">AVERAGE(G87:IV87)</f>
        <v>#DIV/0!</v>
      </c>
      <c r="F87" s="66" t="e">
        <f t="shared" ref="F87:F114" si="14">D87/MEDIAN(G87:IV87)</f>
        <v>#NUM!</v>
      </c>
      <c r="G87" s="119"/>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c r="ES87" s="56"/>
      <c r="ET87" s="56"/>
      <c r="EU87" s="56"/>
      <c r="EV87" s="56"/>
      <c r="EW87" s="56"/>
      <c r="EX87" s="56"/>
      <c r="EY87" s="56"/>
      <c r="EZ87" s="56"/>
      <c r="FA87" s="56"/>
    </row>
    <row r="88" spans="1:157" x14ac:dyDescent="0.35">
      <c r="A88" s="65" t="str">
        <f t="shared" si="10"/>
        <v/>
      </c>
      <c r="B88" s="68" t="str">
        <f>Stoff!A88</f>
        <v>nystoff 2</v>
      </c>
      <c r="C88" s="67">
        <f t="shared" si="11"/>
        <v>0</v>
      </c>
      <c r="D88" s="55">
        <f t="shared" si="12"/>
        <v>0</v>
      </c>
      <c r="E88" s="55" t="e">
        <f t="shared" si="13"/>
        <v>#DIV/0!</v>
      </c>
      <c r="F88" s="66" t="e">
        <f t="shared" si="14"/>
        <v>#NUM!</v>
      </c>
      <c r="G88" s="119"/>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row>
    <row r="89" spans="1:157" x14ac:dyDescent="0.35">
      <c r="A89" s="65" t="str">
        <f t="shared" si="10"/>
        <v/>
      </c>
      <c r="B89" s="68" t="str">
        <f>Stoff!A89</f>
        <v>nystoff 3</v>
      </c>
      <c r="C89" s="67">
        <f t="shared" si="11"/>
        <v>0</v>
      </c>
      <c r="D89" s="55">
        <f t="shared" si="12"/>
        <v>0</v>
      </c>
      <c r="E89" s="55" t="e">
        <f t="shared" si="13"/>
        <v>#DIV/0!</v>
      </c>
      <c r="F89" s="66" t="e">
        <f t="shared" si="14"/>
        <v>#NUM!</v>
      </c>
      <c r="G89" s="119"/>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c r="ED89" s="56"/>
      <c r="EE89" s="56"/>
      <c r="EF89" s="56"/>
      <c r="EG89" s="56"/>
      <c r="EH89" s="56"/>
      <c r="EI89" s="56"/>
      <c r="EJ89" s="56"/>
      <c r="EK89" s="56"/>
      <c r="EL89" s="56"/>
      <c r="EM89" s="56"/>
      <c r="EN89" s="56"/>
      <c r="EO89" s="56"/>
      <c r="EP89" s="56"/>
      <c r="EQ89" s="56"/>
      <c r="ER89" s="56"/>
      <c r="ES89" s="56"/>
      <c r="ET89" s="56"/>
      <c r="EU89" s="56"/>
      <c r="EV89" s="56"/>
      <c r="EW89" s="56"/>
      <c r="EX89" s="56"/>
      <c r="EY89" s="56"/>
      <c r="EZ89" s="56"/>
      <c r="FA89" s="56"/>
    </row>
    <row r="90" spans="1:157" x14ac:dyDescent="0.35">
      <c r="A90" s="65" t="str">
        <f t="shared" si="10"/>
        <v/>
      </c>
      <c r="B90" s="68" t="str">
        <f>Stoff!A90</f>
        <v>nystoff 4</v>
      </c>
      <c r="C90" s="67">
        <f t="shared" si="11"/>
        <v>0</v>
      </c>
      <c r="D90" s="55">
        <f t="shared" si="12"/>
        <v>0</v>
      </c>
      <c r="E90" s="55" t="e">
        <f t="shared" si="13"/>
        <v>#DIV/0!</v>
      </c>
      <c r="F90" s="66" t="e">
        <f t="shared" si="14"/>
        <v>#NUM!</v>
      </c>
      <c r="G90" s="119"/>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c r="EJ90" s="56"/>
      <c r="EK90" s="56"/>
      <c r="EL90" s="56"/>
      <c r="EM90" s="56"/>
      <c r="EN90" s="56"/>
      <c r="EO90" s="56"/>
      <c r="EP90" s="56"/>
      <c r="EQ90" s="56"/>
      <c r="ER90" s="56"/>
      <c r="ES90" s="56"/>
      <c r="ET90" s="56"/>
      <c r="EU90" s="56"/>
      <c r="EV90" s="56"/>
      <c r="EW90" s="56"/>
      <c r="EX90" s="56"/>
      <c r="EY90" s="56"/>
      <c r="EZ90" s="56"/>
      <c r="FA90" s="56"/>
    </row>
    <row r="91" spans="1:157" x14ac:dyDescent="0.35">
      <c r="A91" s="65" t="str">
        <f t="shared" si="10"/>
        <v/>
      </c>
      <c r="B91" s="68" t="str">
        <f>Stoff!A91</f>
        <v>nystoff 5</v>
      </c>
      <c r="C91" s="67">
        <f t="shared" si="11"/>
        <v>0</v>
      </c>
      <c r="D91" s="55">
        <f t="shared" si="12"/>
        <v>0</v>
      </c>
      <c r="E91" s="55" t="e">
        <f t="shared" si="13"/>
        <v>#DIV/0!</v>
      </c>
      <c r="F91" s="66" t="e">
        <f t="shared" si="14"/>
        <v>#NUM!</v>
      </c>
      <c r="G91" s="119"/>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c r="EN91" s="56"/>
      <c r="EO91" s="56"/>
      <c r="EP91" s="56"/>
      <c r="EQ91" s="56"/>
      <c r="ER91" s="56"/>
      <c r="ES91" s="56"/>
      <c r="ET91" s="56"/>
      <c r="EU91" s="56"/>
      <c r="EV91" s="56"/>
      <c r="EW91" s="56"/>
      <c r="EX91" s="56"/>
      <c r="EY91" s="56"/>
      <c r="EZ91" s="56"/>
      <c r="FA91" s="56"/>
    </row>
    <row r="92" spans="1:157" x14ac:dyDescent="0.35">
      <c r="A92" s="65" t="str">
        <f t="shared" si="10"/>
        <v/>
      </c>
      <c r="B92" s="68" t="str">
        <f>Stoff!A92</f>
        <v>nystoff 6</v>
      </c>
      <c r="C92" s="67">
        <f t="shared" si="11"/>
        <v>0</v>
      </c>
      <c r="D92" s="55">
        <f t="shared" si="12"/>
        <v>0</v>
      </c>
      <c r="E92" s="55" t="e">
        <f t="shared" si="13"/>
        <v>#DIV/0!</v>
      </c>
      <c r="F92" s="66" t="e">
        <f t="shared" si="14"/>
        <v>#NUM!</v>
      </c>
      <c r="G92" s="119"/>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6"/>
      <c r="DY92" s="56"/>
      <c r="DZ92" s="56"/>
      <c r="EA92" s="56"/>
      <c r="EB92" s="56"/>
      <c r="EC92" s="56"/>
      <c r="ED92" s="56"/>
      <c r="EE92" s="56"/>
      <c r="EF92" s="56"/>
      <c r="EG92" s="56"/>
      <c r="EH92" s="56"/>
      <c r="EI92" s="56"/>
      <c r="EJ92" s="56"/>
      <c r="EK92" s="56"/>
      <c r="EL92" s="56"/>
      <c r="EM92" s="56"/>
      <c r="EN92" s="56"/>
      <c r="EO92" s="56"/>
      <c r="EP92" s="56"/>
      <c r="EQ92" s="56"/>
      <c r="ER92" s="56"/>
      <c r="ES92" s="56"/>
      <c r="ET92" s="56"/>
      <c r="EU92" s="56"/>
      <c r="EV92" s="56"/>
      <c r="EW92" s="56"/>
      <c r="EX92" s="56"/>
      <c r="EY92" s="56"/>
      <c r="EZ92" s="56"/>
      <c r="FA92" s="56"/>
    </row>
    <row r="93" spans="1:157" x14ac:dyDescent="0.35">
      <c r="A93" s="65" t="str">
        <f t="shared" si="10"/>
        <v/>
      </c>
      <c r="B93" s="68" t="str">
        <f>Stoff!A93</f>
        <v>nystoff 7</v>
      </c>
      <c r="C93" s="67">
        <f t="shared" si="11"/>
        <v>0</v>
      </c>
      <c r="D93" s="55">
        <f t="shared" si="12"/>
        <v>0</v>
      </c>
      <c r="E93" s="55" t="e">
        <f t="shared" si="13"/>
        <v>#DIV/0!</v>
      </c>
      <c r="F93" s="66" t="e">
        <f t="shared" si="14"/>
        <v>#NUM!</v>
      </c>
      <c r="G93" s="119"/>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c r="EA93" s="56"/>
      <c r="EB93" s="56"/>
      <c r="EC93" s="56"/>
      <c r="ED93" s="56"/>
      <c r="EE93" s="56"/>
      <c r="EF93" s="56"/>
      <c r="EG93" s="56"/>
      <c r="EH93" s="56"/>
      <c r="EI93" s="56"/>
      <c r="EJ93" s="56"/>
      <c r="EK93" s="56"/>
      <c r="EL93" s="56"/>
      <c r="EM93" s="56"/>
      <c r="EN93" s="56"/>
      <c r="EO93" s="56"/>
      <c r="EP93" s="56"/>
      <c r="EQ93" s="56"/>
      <c r="ER93" s="56"/>
      <c r="ES93" s="56"/>
      <c r="ET93" s="56"/>
      <c r="EU93" s="56"/>
      <c r="EV93" s="56"/>
      <c r="EW93" s="56"/>
      <c r="EX93" s="56"/>
      <c r="EY93" s="56"/>
      <c r="EZ93" s="56"/>
      <c r="FA93" s="56"/>
    </row>
    <row r="94" spans="1:157" x14ac:dyDescent="0.35">
      <c r="A94" s="65" t="str">
        <f t="shared" si="10"/>
        <v/>
      </c>
      <c r="B94" s="68" t="str">
        <f>Stoff!A94</f>
        <v>nystoff 8</v>
      </c>
      <c r="C94" s="67">
        <f t="shared" si="11"/>
        <v>0</v>
      </c>
      <c r="D94" s="55">
        <f t="shared" si="12"/>
        <v>0</v>
      </c>
      <c r="E94" s="55" t="e">
        <f t="shared" si="13"/>
        <v>#DIV/0!</v>
      </c>
      <c r="F94" s="66" t="e">
        <f t="shared" si="14"/>
        <v>#NUM!</v>
      </c>
      <c r="G94" s="119"/>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c r="EJ94" s="56"/>
      <c r="EK94" s="56"/>
      <c r="EL94" s="56"/>
      <c r="EM94" s="56"/>
      <c r="EN94" s="56"/>
      <c r="EO94" s="56"/>
      <c r="EP94" s="56"/>
      <c r="EQ94" s="56"/>
      <c r="ER94" s="56"/>
      <c r="ES94" s="56"/>
      <c r="ET94" s="56"/>
      <c r="EU94" s="56"/>
      <c r="EV94" s="56"/>
      <c r="EW94" s="56"/>
      <c r="EX94" s="56"/>
      <c r="EY94" s="56"/>
      <c r="EZ94" s="56"/>
      <c r="FA94" s="56"/>
    </row>
    <row r="95" spans="1:157" x14ac:dyDescent="0.35">
      <c r="A95" s="65" t="str">
        <f t="shared" si="10"/>
        <v/>
      </c>
      <c r="B95" s="68" t="str">
        <f>Stoff!A95</f>
        <v>nystoff 9</v>
      </c>
      <c r="C95" s="67">
        <f t="shared" si="11"/>
        <v>0</v>
      </c>
      <c r="D95" s="55">
        <f t="shared" si="12"/>
        <v>0</v>
      </c>
      <c r="E95" s="55" t="e">
        <f t="shared" si="13"/>
        <v>#DIV/0!</v>
      </c>
      <c r="F95" s="66" t="e">
        <f t="shared" si="14"/>
        <v>#NUM!</v>
      </c>
      <c r="G95" s="119"/>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EW95" s="56"/>
      <c r="EX95" s="56"/>
      <c r="EY95" s="56"/>
      <c r="EZ95" s="56"/>
      <c r="FA95" s="56"/>
    </row>
    <row r="96" spans="1:157" x14ac:dyDescent="0.35">
      <c r="A96" s="65" t="str">
        <f t="shared" si="10"/>
        <v/>
      </c>
      <c r="B96" s="68" t="str">
        <f>Stoff!A96</f>
        <v>nystoff 10</v>
      </c>
      <c r="C96" s="67">
        <f t="shared" si="11"/>
        <v>0</v>
      </c>
      <c r="D96" s="55">
        <f t="shared" si="12"/>
        <v>0</v>
      </c>
      <c r="E96" s="55" t="e">
        <f t="shared" si="13"/>
        <v>#DIV/0!</v>
      </c>
      <c r="F96" s="66" t="e">
        <f t="shared" si="14"/>
        <v>#NUM!</v>
      </c>
      <c r="G96" s="119"/>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c r="EN96" s="56"/>
      <c r="EO96" s="56"/>
      <c r="EP96" s="56"/>
      <c r="EQ96" s="56"/>
      <c r="ER96" s="56"/>
      <c r="ES96" s="56"/>
      <c r="ET96" s="56"/>
      <c r="EU96" s="56"/>
      <c r="EV96" s="56"/>
      <c r="EW96" s="56"/>
      <c r="EX96" s="56"/>
      <c r="EY96" s="56"/>
      <c r="EZ96" s="56"/>
      <c r="FA96" s="56"/>
    </row>
    <row r="97" spans="1:157" x14ac:dyDescent="0.35">
      <c r="A97" s="65" t="str">
        <f t="shared" si="10"/>
        <v/>
      </c>
      <c r="B97" s="68" t="str">
        <f>Stoff!A97</f>
        <v>nystoff 11</v>
      </c>
      <c r="C97" s="67">
        <f t="shared" si="11"/>
        <v>0</v>
      </c>
      <c r="D97" s="55">
        <f t="shared" si="12"/>
        <v>0</v>
      </c>
      <c r="E97" s="55" t="e">
        <f t="shared" si="13"/>
        <v>#DIV/0!</v>
      </c>
      <c r="F97" s="66" t="e">
        <f t="shared" si="14"/>
        <v>#NUM!</v>
      </c>
      <c r="G97" s="119"/>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row>
    <row r="98" spans="1:157" x14ac:dyDescent="0.35">
      <c r="A98" s="65" t="str">
        <f t="shared" si="10"/>
        <v/>
      </c>
      <c r="B98" s="68" t="str">
        <f>Stoff!A98</f>
        <v>nystoff 12</v>
      </c>
      <c r="C98" s="67">
        <f t="shared" si="11"/>
        <v>0</v>
      </c>
      <c r="D98" s="55">
        <f t="shared" si="12"/>
        <v>0</v>
      </c>
      <c r="E98" s="55" t="e">
        <f t="shared" si="13"/>
        <v>#DIV/0!</v>
      </c>
      <c r="F98" s="66" t="e">
        <f t="shared" si="14"/>
        <v>#NUM!</v>
      </c>
      <c r="G98" s="119"/>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row>
    <row r="99" spans="1:157" x14ac:dyDescent="0.35">
      <c r="A99" s="65" t="str">
        <f t="shared" si="10"/>
        <v/>
      </c>
      <c r="B99" s="68" t="str">
        <f>Stoff!A99</f>
        <v>nystoff 13</v>
      </c>
      <c r="C99" s="67">
        <f t="shared" si="11"/>
        <v>0</v>
      </c>
      <c r="D99" s="55">
        <f t="shared" si="12"/>
        <v>0</v>
      </c>
      <c r="E99" s="55" t="e">
        <f t="shared" si="13"/>
        <v>#DIV/0!</v>
      </c>
      <c r="F99" s="66" t="e">
        <f t="shared" si="14"/>
        <v>#NUM!</v>
      </c>
      <c r="G99" s="119"/>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c r="EO99" s="56"/>
      <c r="EP99" s="56"/>
      <c r="EQ99" s="56"/>
      <c r="ER99" s="56"/>
      <c r="ES99" s="56"/>
      <c r="ET99" s="56"/>
      <c r="EU99" s="56"/>
      <c r="EV99" s="56"/>
      <c r="EW99" s="56"/>
      <c r="EX99" s="56"/>
      <c r="EY99" s="56"/>
      <c r="EZ99" s="56"/>
      <c r="FA99" s="56"/>
    </row>
    <row r="100" spans="1:157" x14ac:dyDescent="0.35">
      <c r="A100" s="65" t="str">
        <f t="shared" si="10"/>
        <v/>
      </c>
      <c r="B100" s="68" t="str">
        <f>Stoff!A100</f>
        <v>nystoff 14</v>
      </c>
      <c r="C100" s="67">
        <f t="shared" si="11"/>
        <v>0</v>
      </c>
      <c r="D100" s="55">
        <f t="shared" si="12"/>
        <v>0</v>
      </c>
      <c r="E100" s="55" t="e">
        <f t="shared" si="13"/>
        <v>#DIV/0!</v>
      </c>
      <c r="F100" s="66" t="e">
        <f t="shared" si="14"/>
        <v>#NUM!</v>
      </c>
      <c r="G100" s="119"/>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c r="DQ100" s="56"/>
      <c r="DR100" s="56"/>
      <c r="DS100" s="56"/>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c r="EV100" s="56"/>
      <c r="EW100" s="56"/>
      <c r="EX100" s="56"/>
      <c r="EY100" s="56"/>
      <c r="EZ100" s="56"/>
      <c r="FA100" s="56"/>
    </row>
    <row r="101" spans="1:157" x14ac:dyDescent="0.35">
      <c r="A101" s="65" t="str">
        <f t="shared" si="10"/>
        <v/>
      </c>
      <c r="B101" s="68" t="str">
        <f>Stoff!A101</f>
        <v>nystoff 15</v>
      </c>
      <c r="C101" s="67">
        <f t="shared" si="11"/>
        <v>0</v>
      </c>
      <c r="D101" s="55">
        <f t="shared" si="12"/>
        <v>0</v>
      </c>
      <c r="E101" s="55" t="e">
        <f t="shared" si="13"/>
        <v>#DIV/0!</v>
      </c>
      <c r="F101" s="66" t="e">
        <f t="shared" si="14"/>
        <v>#NUM!</v>
      </c>
      <c r="G101" s="119"/>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row>
    <row r="102" spans="1:157" x14ac:dyDescent="0.35">
      <c r="A102" s="65" t="str">
        <f t="shared" si="10"/>
        <v/>
      </c>
      <c r="B102" s="68" t="str">
        <f>Stoff!A102</f>
        <v>nystoff 16</v>
      </c>
      <c r="C102" s="67">
        <f t="shared" si="11"/>
        <v>0</v>
      </c>
      <c r="D102" s="55">
        <f t="shared" si="12"/>
        <v>0</v>
      </c>
      <c r="E102" s="55" t="e">
        <f t="shared" si="13"/>
        <v>#DIV/0!</v>
      </c>
      <c r="F102" s="66" t="e">
        <f t="shared" si="14"/>
        <v>#NUM!</v>
      </c>
      <c r="G102" s="119"/>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6"/>
      <c r="DY102" s="56"/>
      <c r="DZ102" s="56"/>
      <c r="EA102" s="56"/>
      <c r="EB102" s="56"/>
      <c r="EC102" s="56"/>
      <c r="ED102" s="56"/>
      <c r="EE102" s="56"/>
      <c r="EF102" s="56"/>
      <c r="EG102" s="56"/>
      <c r="EH102" s="56"/>
      <c r="EI102" s="56"/>
      <c r="EJ102" s="56"/>
      <c r="EK102" s="56"/>
      <c r="EL102" s="56"/>
      <c r="EM102" s="56"/>
      <c r="EN102" s="56"/>
      <c r="EO102" s="56"/>
      <c r="EP102" s="56"/>
      <c r="EQ102" s="56"/>
      <c r="ER102" s="56"/>
      <c r="ES102" s="56"/>
      <c r="ET102" s="56"/>
      <c r="EU102" s="56"/>
      <c r="EV102" s="56"/>
      <c r="EW102" s="56"/>
      <c r="EX102" s="56"/>
      <c r="EY102" s="56"/>
      <c r="EZ102" s="56"/>
      <c r="FA102" s="56"/>
    </row>
    <row r="103" spans="1:157" x14ac:dyDescent="0.35">
      <c r="A103" s="65" t="str">
        <f t="shared" si="10"/>
        <v/>
      </c>
      <c r="B103" s="68" t="str">
        <f>Stoff!A103</f>
        <v>nystoff 17</v>
      </c>
      <c r="C103" s="67">
        <f t="shared" si="11"/>
        <v>0</v>
      </c>
      <c r="D103" s="55">
        <f t="shared" si="12"/>
        <v>0</v>
      </c>
      <c r="E103" s="55" t="e">
        <f t="shared" si="13"/>
        <v>#DIV/0!</v>
      </c>
      <c r="F103" s="66" t="e">
        <f t="shared" si="14"/>
        <v>#NUM!</v>
      </c>
      <c r="G103" s="119"/>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6"/>
      <c r="EQ103" s="56"/>
      <c r="ER103" s="56"/>
      <c r="ES103" s="56"/>
      <c r="ET103" s="56"/>
      <c r="EU103" s="56"/>
      <c r="EV103" s="56"/>
      <c r="EW103" s="56"/>
      <c r="EX103" s="56"/>
      <c r="EY103" s="56"/>
      <c r="EZ103" s="56"/>
      <c r="FA103" s="56"/>
    </row>
    <row r="104" spans="1:157" x14ac:dyDescent="0.35">
      <c r="A104" s="65" t="str">
        <f t="shared" si="10"/>
        <v/>
      </c>
      <c r="B104" s="68" t="str">
        <f>Stoff!A104</f>
        <v>nystoff 18</v>
      </c>
      <c r="C104" s="67">
        <f t="shared" si="11"/>
        <v>0</v>
      </c>
      <c r="D104" s="55">
        <f t="shared" si="12"/>
        <v>0</v>
      </c>
      <c r="E104" s="55" t="e">
        <f t="shared" si="13"/>
        <v>#DIV/0!</v>
      </c>
      <c r="F104" s="66" t="e">
        <f t="shared" si="14"/>
        <v>#NUM!</v>
      </c>
      <c r="G104" s="119"/>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row>
    <row r="105" spans="1:157" x14ac:dyDescent="0.35">
      <c r="A105" s="65" t="str">
        <f t="shared" si="10"/>
        <v/>
      </c>
      <c r="B105" s="68" t="str">
        <f>Stoff!A105</f>
        <v>nystoff 19</v>
      </c>
      <c r="C105" s="67">
        <f t="shared" si="11"/>
        <v>0</v>
      </c>
      <c r="D105" s="55">
        <f t="shared" si="12"/>
        <v>0</v>
      </c>
      <c r="E105" s="55" t="e">
        <f t="shared" si="13"/>
        <v>#DIV/0!</v>
      </c>
      <c r="F105" s="66" t="e">
        <f t="shared" si="14"/>
        <v>#NUM!</v>
      </c>
      <c r="G105" s="119"/>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c r="EA105" s="56"/>
      <c r="EB105" s="56"/>
      <c r="EC105" s="56"/>
      <c r="ED105" s="56"/>
      <c r="EE105" s="56"/>
      <c r="EF105" s="56"/>
      <c r="EG105" s="56"/>
      <c r="EH105" s="56"/>
      <c r="EI105" s="56"/>
      <c r="EJ105" s="56"/>
      <c r="EK105" s="56"/>
      <c r="EL105" s="56"/>
      <c r="EM105" s="56"/>
      <c r="EN105" s="56"/>
      <c r="EO105" s="56"/>
      <c r="EP105" s="56"/>
      <c r="EQ105" s="56"/>
      <c r="ER105" s="56"/>
      <c r="ES105" s="56"/>
      <c r="ET105" s="56"/>
      <c r="EU105" s="56"/>
      <c r="EV105" s="56"/>
      <c r="EW105" s="56"/>
      <c r="EX105" s="56"/>
      <c r="EY105" s="56"/>
      <c r="EZ105" s="56"/>
      <c r="FA105" s="56"/>
    </row>
    <row r="106" spans="1:157" x14ac:dyDescent="0.35">
      <c r="A106" s="65" t="str">
        <f t="shared" si="10"/>
        <v/>
      </c>
      <c r="B106" s="68" t="str">
        <f>Stoff!A106</f>
        <v>nystoff 20</v>
      </c>
      <c r="C106" s="67">
        <f t="shared" si="11"/>
        <v>0</v>
      </c>
      <c r="D106" s="55">
        <f t="shared" si="12"/>
        <v>0</v>
      </c>
      <c r="E106" s="55" t="e">
        <f t="shared" si="13"/>
        <v>#DIV/0!</v>
      </c>
      <c r="F106" s="66" t="e">
        <f t="shared" si="14"/>
        <v>#NUM!</v>
      </c>
      <c r="G106" s="119"/>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c r="DH106" s="56"/>
      <c r="DI106" s="56"/>
      <c r="DJ106" s="56"/>
      <c r="DK106" s="56"/>
      <c r="DL106" s="56"/>
      <c r="DM106" s="56"/>
      <c r="DN106" s="56"/>
      <c r="DO106" s="56"/>
      <c r="DP106" s="56"/>
      <c r="DQ106" s="56"/>
      <c r="DR106" s="56"/>
      <c r="DS106" s="56"/>
      <c r="DT106" s="56"/>
      <c r="DU106" s="56"/>
      <c r="DV106" s="56"/>
      <c r="DW106" s="56"/>
      <c r="DX106" s="56"/>
      <c r="DY106" s="56"/>
      <c r="DZ106" s="56"/>
      <c r="EA106" s="56"/>
      <c r="EB106" s="56"/>
      <c r="EC106" s="56"/>
      <c r="ED106" s="56"/>
      <c r="EE106" s="56"/>
      <c r="EF106" s="56"/>
      <c r="EG106" s="56"/>
      <c r="EH106" s="56"/>
      <c r="EI106" s="56"/>
      <c r="EJ106" s="56"/>
      <c r="EK106" s="56"/>
      <c r="EL106" s="56"/>
      <c r="EM106" s="56"/>
      <c r="EN106" s="56"/>
      <c r="EO106" s="56"/>
      <c r="EP106" s="56"/>
      <c r="EQ106" s="56"/>
      <c r="ER106" s="56"/>
      <c r="ES106" s="56"/>
      <c r="ET106" s="56"/>
      <c r="EU106" s="56"/>
      <c r="EV106" s="56"/>
      <c r="EW106" s="56"/>
      <c r="EX106" s="56"/>
      <c r="EY106" s="56"/>
      <c r="EZ106" s="56"/>
      <c r="FA106" s="56"/>
    </row>
    <row r="107" spans="1:157" x14ac:dyDescent="0.35">
      <c r="A107" s="65" t="str">
        <f t="shared" si="10"/>
        <v/>
      </c>
      <c r="B107" s="68" t="str">
        <f>Stoff!A107</f>
        <v>nystoff 21</v>
      </c>
      <c r="C107" s="67">
        <f t="shared" si="11"/>
        <v>0</v>
      </c>
      <c r="D107" s="55">
        <f t="shared" si="12"/>
        <v>0</v>
      </c>
      <c r="E107" s="55" t="e">
        <f t="shared" si="13"/>
        <v>#DIV/0!</v>
      </c>
      <c r="F107" s="66" t="e">
        <f t="shared" si="14"/>
        <v>#NUM!</v>
      </c>
      <c r="G107" s="119"/>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row>
    <row r="108" spans="1:157" x14ac:dyDescent="0.35">
      <c r="A108" s="65" t="str">
        <f t="shared" si="10"/>
        <v/>
      </c>
      <c r="B108" s="68" t="str">
        <f>Stoff!A108</f>
        <v>nystoff 22</v>
      </c>
      <c r="C108" s="67">
        <f t="shared" si="11"/>
        <v>0</v>
      </c>
      <c r="D108" s="55">
        <f t="shared" si="12"/>
        <v>0</v>
      </c>
      <c r="E108" s="55" t="e">
        <f t="shared" si="13"/>
        <v>#DIV/0!</v>
      </c>
      <c r="F108" s="66" t="e">
        <f t="shared" si="14"/>
        <v>#NUM!</v>
      </c>
      <c r="G108" s="119"/>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6"/>
      <c r="EB108" s="56"/>
      <c r="EC108" s="56"/>
      <c r="ED108" s="56"/>
      <c r="EE108" s="56"/>
      <c r="EF108" s="56"/>
      <c r="EG108" s="56"/>
      <c r="EH108" s="56"/>
      <c r="EI108" s="56"/>
      <c r="EJ108" s="56"/>
      <c r="EK108" s="56"/>
      <c r="EL108" s="56"/>
      <c r="EM108" s="56"/>
      <c r="EN108" s="56"/>
      <c r="EO108" s="56"/>
      <c r="EP108" s="56"/>
      <c r="EQ108" s="56"/>
      <c r="ER108" s="56"/>
      <c r="ES108" s="56"/>
      <c r="ET108" s="56"/>
      <c r="EU108" s="56"/>
      <c r="EV108" s="56"/>
      <c r="EW108" s="56"/>
      <c r="EX108" s="56"/>
      <c r="EY108" s="56"/>
      <c r="EZ108" s="56"/>
      <c r="FA108" s="56"/>
    </row>
    <row r="109" spans="1:157" x14ac:dyDescent="0.35">
      <c r="A109" s="65" t="str">
        <f t="shared" si="10"/>
        <v/>
      </c>
      <c r="B109" s="68" t="str">
        <f>Stoff!A109</f>
        <v>nystoff 23</v>
      </c>
      <c r="C109" s="67">
        <f t="shared" si="11"/>
        <v>0</v>
      </c>
      <c r="D109" s="55">
        <f t="shared" si="12"/>
        <v>0</v>
      </c>
      <c r="E109" s="55" t="e">
        <f t="shared" si="13"/>
        <v>#DIV/0!</v>
      </c>
      <c r="F109" s="66" t="e">
        <f t="shared" si="14"/>
        <v>#NUM!</v>
      </c>
      <c r="G109" s="119"/>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6"/>
      <c r="DY109" s="56"/>
      <c r="DZ109" s="56"/>
      <c r="EA109" s="56"/>
      <c r="EB109" s="56"/>
      <c r="EC109" s="56"/>
      <c r="ED109" s="56"/>
      <c r="EE109" s="56"/>
      <c r="EF109" s="56"/>
      <c r="EG109" s="56"/>
      <c r="EH109" s="56"/>
      <c r="EI109" s="56"/>
      <c r="EJ109" s="56"/>
      <c r="EK109" s="56"/>
      <c r="EL109" s="56"/>
      <c r="EM109" s="56"/>
      <c r="EN109" s="56"/>
      <c r="EO109" s="56"/>
      <c r="EP109" s="56"/>
      <c r="EQ109" s="56"/>
      <c r="ER109" s="56"/>
      <c r="ES109" s="56"/>
      <c r="ET109" s="56"/>
      <c r="EU109" s="56"/>
      <c r="EV109" s="56"/>
      <c r="EW109" s="56"/>
      <c r="EX109" s="56"/>
      <c r="EY109" s="56"/>
      <c r="EZ109" s="56"/>
      <c r="FA109" s="56"/>
    </row>
    <row r="110" spans="1:157" x14ac:dyDescent="0.35">
      <c r="A110" s="65" t="str">
        <f t="shared" si="10"/>
        <v/>
      </c>
      <c r="B110" s="68" t="str">
        <f>Stoff!A110</f>
        <v>nystoff 24</v>
      </c>
      <c r="C110" s="67">
        <f t="shared" si="11"/>
        <v>0</v>
      </c>
      <c r="D110" s="55">
        <f t="shared" si="12"/>
        <v>0</v>
      </c>
      <c r="E110" s="55" t="e">
        <f t="shared" si="13"/>
        <v>#DIV/0!</v>
      </c>
      <c r="F110" s="66" t="e">
        <f t="shared" si="14"/>
        <v>#NUM!</v>
      </c>
      <c r="G110" s="119"/>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c r="DY110" s="56"/>
      <c r="DZ110" s="56"/>
      <c r="EA110" s="56"/>
      <c r="EB110" s="56"/>
      <c r="EC110" s="56"/>
      <c r="ED110" s="56"/>
      <c r="EE110" s="56"/>
      <c r="EF110" s="56"/>
      <c r="EG110" s="56"/>
      <c r="EH110" s="56"/>
      <c r="EI110" s="56"/>
      <c r="EJ110" s="56"/>
      <c r="EK110" s="56"/>
      <c r="EL110" s="56"/>
      <c r="EM110" s="56"/>
      <c r="EN110" s="56"/>
      <c r="EO110" s="56"/>
      <c r="EP110" s="56"/>
      <c r="EQ110" s="56"/>
      <c r="ER110" s="56"/>
      <c r="ES110" s="56"/>
      <c r="ET110" s="56"/>
      <c r="EU110" s="56"/>
      <c r="EV110" s="56"/>
      <c r="EW110" s="56"/>
      <c r="EX110" s="56"/>
      <c r="EY110" s="56"/>
      <c r="EZ110" s="56"/>
      <c r="FA110" s="56"/>
    </row>
    <row r="111" spans="1:157" x14ac:dyDescent="0.35">
      <c r="A111" s="65" t="str">
        <f t="shared" si="10"/>
        <v/>
      </c>
      <c r="B111" s="68" t="str">
        <f>Stoff!A111</f>
        <v>nystoff 25</v>
      </c>
      <c r="C111" s="67">
        <f t="shared" si="11"/>
        <v>0</v>
      </c>
      <c r="D111" s="55">
        <f t="shared" si="12"/>
        <v>0</v>
      </c>
      <c r="E111" s="55" t="e">
        <f t="shared" si="13"/>
        <v>#DIV/0!</v>
      </c>
      <c r="F111" s="66" t="e">
        <f t="shared" si="14"/>
        <v>#NUM!</v>
      </c>
      <c r="G111" s="119"/>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c r="ER111" s="56"/>
      <c r="ES111" s="56"/>
      <c r="ET111" s="56"/>
      <c r="EU111" s="56"/>
      <c r="EV111" s="56"/>
      <c r="EW111" s="56"/>
      <c r="EX111" s="56"/>
      <c r="EY111" s="56"/>
      <c r="EZ111" s="56"/>
      <c r="FA111" s="56"/>
    </row>
    <row r="112" spans="1:157" x14ac:dyDescent="0.35">
      <c r="A112" s="65" t="str">
        <f t="shared" si="10"/>
        <v/>
      </c>
      <c r="B112" s="68" t="str">
        <f>Stoff!A112</f>
        <v>nystoff 26</v>
      </c>
      <c r="C112" s="67">
        <f t="shared" si="11"/>
        <v>0</v>
      </c>
      <c r="D112" s="55">
        <f t="shared" si="12"/>
        <v>0</v>
      </c>
      <c r="E112" s="55" t="e">
        <f t="shared" si="13"/>
        <v>#DIV/0!</v>
      </c>
      <c r="F112" s="66" t="e">
        <f t="shared" si="14"/>
        <v>#NUM!</v>
      </c>
      <c r="G112" s="119"/>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DF112" s="56"/>
      <c r="DG112" s="56"/>
      <c r="DH112" s="56"/>
      <c r="DI112" s="56"/>
      <c r="DJ112" s="56"/>
      <c r="DK112" s="56"/>
      <c r="DL112" s="56"/>
      <c r="DM112" s="56"/>
      <c r="DN112" s="56"/>
      <c r="DO112" s="56"/>
      <c r="DP112" s="56"/>
      <c r="DQ112" s="56"/>
      <c r="DR112" s="56"/>
      <c r="DS112" s="56"/>
      <c r="DT112" s="56"/>
      <c r="DU112" s="56"/>
      <c r="DV112" s="56"/>
      <c r="DW112" s="56"/>
      <c r="DX112" s="56"/>
      <c r="DY112" s="56"/>
      <c r="DZ112" s="56"/>
      <c r="EA112" s="56"/>
      <c r="EB112" s="56"/>
      <c r="EC112" s="56"/>
      <c r="ED112" s="56"/>
      <c r="EE112" s="56"/>
      <c r="EF112" s="56"/>
      <c r="EG112" s="56"/>
      <c r="EH112" s="56"/>
      <c r="EI112" s="56"/>
      <c r="EJ112" s="56"/>
      <c r="EK112" s="56"/>
      <c r="EL112" s="56"/>
      <c r="EM112" s="56"/>
      <c r="EN112" s="56"/>
      <c r="EO112" s="56"/>
      <c r="EP112" s="56"/>
      <c r="EQ112" s="56"/>
      <c r="ER112" s="56"/>
      <c r="ES112" s="56"/>
      <c r="ET112" s="56"/>
      <c r="EU112" s="56"/>
      <c r="EV112" s="56"/>
      <c r="EW112" s="56"/>
      <c r="EX112" s="56"/>
      <c r="EY112" s="56"/>
      <c r="EZ112" s="56"/>
      <c r="FA112" s="56"/>
    </row>
    <row r="113" spans="1:157" x14ac:dyDescent="0.35">
      <c r="A113" s="65" t="str">
        <f t="shared" si="10"/>
        <v/>
      </c>
      <c r="B113" s="68" t="str">
        <f>Stoff!A113</f>
        <v>nystoff 27</v>
      </c>
      <c r="C113" s="67">
        <f t="shared" si="11"/>
        <v>0</v>
      </c>
      <c r="D113" s="55">
        <f t="shared" si="12"/>
        <v>0</v>
      </c>
      <c r="E113" s="55" t="e">
        <f t="shared" si="13"/>
        <v>#DIV/0!</v>
      </c>
      <c r="F113" s="66" t="e">
        <f t="shared" si="14"/>
        <v>#NUM!</v>
      </c>
      <c r="G113" s="119"/>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c r="DH113" s="56"/>
      <c r="DI113" s="56"/>
      <c r="DJ113" s="56"/>
      <c r="DK113" s="56"/>
      <c r="DL113" s="56"/>
      <c r="DM113" s="56"/>
      <c r="DN113" s="56"/>
      <c r="DO113" s="56"/>
      <c r="DP113" s="56"/>
      <c r="DQ113" s="56"/>
      <c r="DR113" s="56"/>
      <c r="DS113" s="56"/>
      <c r="DT113" s="56"/>
      <c r="DU113" s="56"/>
      <c r="DV113" s="56"/>
      <c r="DW113" s="56"/>
      <c r="DX113" s="56"/>
      <c r="DY113" s="56"/>
      <c r="DZ113" s="56"/>
      <c r="EA113" s="56"/>
      <c r="EB113" s="56"/>
      <c r="EC113" s="56"/>
      <c r="ED113" s="56"/>
      <c r="EE113" s="56"/>
      <c r="EF113" s="56"/>
      <c r="EG113" s="56"/>
      <c r="EH113" s="56"/>
      <c r="EI113" s="56"/>
      <c r="EJ113" s="56"/>
      <c r="EK113" s="56"/>
      <c r="EL113" s="56"/>
      <c r="EM113" s="56"/>
      <c r="EN113" s="56"/>
      <c r="EO113" s="56"/>
      <c r="EP113" s="56"/>
      <c r="EQ113" s="56"/>
      <c r="ER113" s="56"/>
      <c r="ES113" s="56"/>
      <c r="ET113" s="56"/>
      <c r="EU113" s="56"/>
      <c r="EV113" s="56"/>
      <c r="EW113" s="56"/>
      <c r="EX113" s="56"/>
      <c r="EY113" s="56"/>
      <c r="EZ113" s="56"/>
      <c r="FA113" s="56"/>
    </row>
    <row r="114" spans="1:157" x14ac:dyDescent="0.35">
      <c r="A114" s="65" t="str">
        <f t="shared" si="10"/>
        <v/>
      </c>
      <c r="B114" s="68" t="str">
        <f>Stoff!A114</f>
        <v>nystoff 28</v>
      </c>
      <c r="C114" s="67">
        <f t="shared" si="11"/>
        <v>0</v>
      </c>
      <c r="D114" s="55">
        <f t="shared" si="12"/>
        <v>0</v>
      </c>
      <c r="E114" s="55" t="e">
        <f t="shared" si="13"/>
        <v>#DIV/0!</v>
      </c>
      <c r="F114" s="66" t="e">
        <f t="shared" si="14"/>
        <v>#NUM!</v>
      </c>
      <c r="G114" s="119"/>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c r="EA114" s="56"/>
      <c r="EB114" s="56"/>
      <c r="EC114" s="56"/>
      <c r="ED114" s="56"/>
      <c r="EE114" s="56"/>
      <c r="EF114" s="56"/>
      <c r="EG114" s="56"/>
      <c r="EH114" s="56"/>
      <c r="EI114" s="56"/>
      <c r="EJ114" s="56"/>
      <c r="EK114" s="56"/>
      <c r="EL114" s="56"/>
      <c r="EM114" s="56"/>
      <c r="EN114" s="56"/>
      <c r="EO114" s="56"/>
      <c r="EP114" s="56"/>
      <c r="EQ114" s="56"/>
      <c r="ER114" s="56"/>
      <c r="ES114" s="56"/>
      <c r="ET114" s="56"/>
      <c r="EU114" s="56"/>
      <c r="EV114" s="56"/>
      <c r="EW114" s="56"/>
      <c r="EX114" s="56"/>
      <c r="EY114" s="56"/>
      <c r="EZ114" s="56"/>
      <c r="FA114" s="56"/>
    </row>
  </sheetData>
  <sheetProtection sheet="1" objects="1" scenarios="1" selectLockedCells="1"/>
  <mergeCells count="4">
    <mergeCell ref="C1:E2"/>
    <mergeCell ref="F1:F2"/>
    <mergeCell ref="G1:L2"/>
    <mergeCell ref="B2:B3"/>
  </mergeCells>
  <conditionalFormatting sqref="D4:F114">
    <cfRule type="expression" dxfId="71" priority="8" stopIfTrue="1">
      <formula>$D4=0</formula>
    </cfRule>
  </conditionalFormatting>
  <conditionalFormatting sqref="BJ4:IV37 BJ38:FA51 G4:BI51">
    <cfRule type="cellIs" dxfId="70" priority="9" stopIfTrue="1" operator="equal">
      <formula>0</formula>
    </cfRule>
  </conditionalFormatting>
  <conditionalFormatting sqref="C4:C69">
    <cfRule type="expression" dxfId="69" priority="10" stopIfTrue="1">
      <formula>C4=0</formula>
    </cfRule>
  </conditionalFormatting>
  <conditionalFormatting sqref="G52:FA69">
    <cfRule type="cellIs" dxfId="68" priority="7" stopIfTrue="1" operator="equal">
      <formula>0</formula>
    </cfRule>
  </conditionalFormatting>
  <conditionalFormatting sqref="C70:C114">
    <cfRule type="expression" dxfId="67" priority="6" stopIfTrue="1">
      <formula>C70=0</formula>
    </cfRule>
  </conditionalFormatting>
  <conditionalFormatting sqref="G70:FA114">
    <cfRule type="cellIs" dxfId="66" priority="4" stopIfTrue="1" operator="equal">
      <formula>0</formula>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2"/>
  </sheetPr>
  <dimension ref="A1:IV114"/>
  <sheetViews>
    <sheetView workbookViewId="0">
      <selection activeCell="G3" sqref="G3"/>
    </sheetView>
  </sheetViews>
  <sheetFormatPr baseColWidth="10" defaultColWidth="11.453125" defaultRowHeight="14.5" x14ac:dyDescent="0.35"/>
  <cols>
    <col min="1" max="1" width="2.81640625" style="64" customWidth="1"/>
    <col min="2" max="2" width="48.7265625" style="65" customWidth="1"/>
    <col min="3" max="3" width="7" style="57" customWidth="1"/>
    <col min="4" max="4" width="9.7265625" style="57" customWidth="1"/>
    <col min="5" max="5" width="12.26953125" style="57" customWidth="1"/>
    <col min="6" max="6" width="16.26953125" style="57" customWidth="1"/>
    <col min="7" max="7" width="9.54296875" style="55" customWidth="1"/>
    <col min="8" max="11" width="9.54296875" style="57" customWidth="1"/>
    <col min="12" max="12" width="10.7265625" style="57" customWidth="1"/>
    <col min="13" max="15" width="9.54296875" style="57" customWidth="1"/>
    <col min="16" max="18" width="10" style="57" customWidth="1"/>
    <col min="19" max="137" width="9.1796875" style="57" customWidth="1"/>
    <col min="138" max="256" width="11.453125" style="64"/>
  </cols>
  <sheetData>
    <row r="1" spans="1:247" ht="15" customHeight="1" x14ac:dyDescent="0.35">
      <c r="B1" s="78"/>
      <c r="C1" s="379" t="s">
        <v>487</v>
      </c>
      <c r="D1" s="379"/>
      <c r="E1" s="379"/>
      <c r="F1" s="380" t="s">
        <v>465</v>
      </c>
      <c r="G1" s="382" t="s">
        <v>764</v>
      </c>
      <c r="H1" s="383"/>
      <c r="I1" s="383"/>
      <c r="J1" s="383"/>
      <c r="K1" s="383"/>
      <c r="L1" s="384"/>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row>
    <row r="2" spans="1:247" x14ac:dyDescent="0.35">
      <c r="A2" s="64" t="s">
        <v>137</v>
      </c>
      <c r="B2" s="388" t="s">
        <v>211</v>
      </c>
      <c r="C2" s="379"/>
      <c r="D2" s="379"/>
      <c r="E2" s="379"/>
      <c r="F2" s="381"/>
      <c r="G2" s="385"/>
      <c r="H2" s="386"/>
      <c r="I2" s="386"/>
      <c r="J2" s="386"/>
      <c r="K2" s="386"/>
      <c r="L2" s="387"/>
      <c r="M2" s="77"/>
      <c r="N2" s="77"/>
      <c r="O2" s="77"/>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row>
    <row r="3" spans="1:247" ht="58.5" x14ac:dyDescent="0.35">
      <c r="A3" s="65" t="s">
        <v>137</v>
      </c>
      <c r="B3" s="388"/>
      <c r="C3" s="74" t="s">
        <v>464</v>
      </c>
      <c r="D3" s="74" t="s">
        <v>489</v>
      </c>
      <c r="E3" s="74" t="s">
        <v>490</v>
      </c>
      <c r="F3" s="74" t="s">
        <v>491</v>
      </c>
      <c r="G3" s="73" t="s">
        <v>463</v>
      </c>
      <c r="H3" s="73" t="s">
        <v>462</v>
      </c>
      <c r="I3" s="73" t="s">
        <v>461</v>
      </c>
      <c r="J3" s="73" t="s">
        <v>460</v>
      </c>
      <c r="K3" s="73" t="s">
        <v>459</v>
      </c>
      <c r="L3" s="73" t="s">
        <v>458</v>
      </c>
      <c r="M3" s="73" t="s">
        <v>457</v>
      </c>
      <c r="N3" s="73" t="s">
        <v>456</v>
      </c>
      <c r="O3" s="73" t="s">
        <v>455</v>
      </c>
      <c r="P3" s="73" t="s">
        <v>454</v>
      </c>
      <c r="Q3" s="73" t="s">
        <v>453</v>
      </c>
      <c r="R3" s="73" t="s">
        <v>452</v>
      </c>
      <c r="S3" s="73" t="s">
        <v>451</v>
      </c>
      <c r="T3" s="73" t="s">
        <v>450</v>
      </c>
      <c r="U3" s="73" t="s">
        <v>449</v>
      </c>
      <c r="V3" s="73" t="s">
        <v>448</v>
      </c>
      <c r="W3" s="73" t="s">
        <v>447</v>
      </c>
      <c r="X3" s="73" t="s">
        <v>446</v>
      </c>
      <c r="Y3" s="73" t="s">
        <v>445</v>
      </c>
      <c r="Z3" s="73" t="s">
        <v>444</v>
      </c>
      <c r="AA3" s="73" t="s">
        <v>443</v>
      </c>
      <c r="AB3" s="73" t="s">
        <v>442</v>
      </c>
      <c r="AC3" s="73" t="s">
        <v>441</v>
      </c>
      <c r="AD3" s="73" t="s">
        <v>440</v>
      </c>
      <c r="AE3" s="73" t="s">
        <v>439</v>
      </c>
      <c r="AF3" s="73" t="s">
        <v>438</v>
      </c>
      <c r="AG3" s="73" t="s">
        <v>437</v>
      </c>
      <c r="AH3" s="73" t="s">
        <v>436</v>
      </c>
      <c r="AI3" s="73" t="s">
        <v>435</v>
      </c>
      <c r="AJ3" s="73" t="s">
        <v>434</v>
      </c>
      <c r="AK3" s="73" t="s">
        <v>433</v>
      </c>
      <c r="AL3" s="73" t="s">
        <v>432</v>
      </c>
      <c r="AM3" s="73" t="s">
        <v>431</v>
      </c>
      <c r="AN3" s="73" t="s">
        <v>430</v>
      </c>
      <c r="AO3" s="73" t="s">
        <v>429</v>
      </c>
      <c r="AP3" s="73" t="s">
        <v>428</v>
      </c>
      <c r="AQ3" s="73" t="s">
        <v>427</v>
      </c>
      <c r="AR3" s="73" t="s">
        <v>426</v>
      </c>
      <c r="AS3" s="73" t="s">
        <v>425</v>
      </c>
      <c r="AT3" s="73" t="s">
        <v>424</v>
      </c>
      <c r="AU3" s="73" t="s">
        <v>423</v>
      </c>
      <c r="AV3" s="73" t="s">
        <v>422</v>
      </c>
      <c r="AW3" s="73" t="s">
        <v>421</v>
      </c>
      <c r="AX3" s="73" t="s">
        <v>420</v>
      </c>
      <c r="AY3" s="73" t="s">
        <v>419</v>
      </c>
      <c r="AZ3" s="73" t="s">
        <v>418</v>
      </c>
      <c r="BA3" s="73" t="s">
        <v>417</v>
      </c>
      <c r="BB3" s="73" t="s">
        <v>416</v>
      </c>
      <c r="BC3" s="73" t="s">
        <v>415</v>
      </c>
      <c r="BD3" s="73" t="s">
        <v>414</v>
      </c>
      <c r="BE3" s="73" t="s">
        <v>413</v>
      </c>
      <c r="BF3" s="73" t="s">
        <v>412</v>
      </c>
      <c r="BG3" s="73" t="s">
        <v>411</v>
      </c>
      <c r="BH3" s="73" t="s">
        <v>410</v>
      </c>
      <c r="BI3" s="73" t="s">
        <v>409</v>
      </c>
      <c r="BJ3" s="73" t="s">
        <v>408</v>
      </c>
      <c r="BK3" s="73" t="s">
        <v>407</v>
      </c>
      <c r="BL3" s="73" t="s">
        <v>406</v>
      </c>
      <c r="BM3" s="73" t="s">
        <v>405</v>
      </c>
      <c r="BN3" s="73" t="s">
        <v>404</v>
      </c>
      <c r="BO3" s="73" t="s">
        <v>403</v>
      </c>
      <c r="BP3" s="73" t="s">
        <v>402</v>
      </c>
      <c r="BQ3" s="73" t="s">
        <v>401</v>
      </c>
      <c r="BR3" s="73" t="s">
        <v>400</v>
      </c>
      <c r="BS3" s="73" t="s">
        <v>399</v>
      </c>
      <c r="BT3" s="73" t="s">
        <v>398</v>
      </c>
      <c r="BU3" s="73" t="s">
        <v>397</v>
      </c>
      <c r="BV3" s="73" t="s">
        <v>396</v>
      </c>
      <c r="BW3" s="73" t="s">
        <v>395</v>
      </c>
      <c r="BX3" s="73" t="s">
        <v>394</v>
      </c>
      <c r="BY3" s="73" t="s">
        <v>393</v>
      </c>
      <c r="BZ3" s="73" t="s">
        <v>392</v>
      </c>
      <c r="CA3" s="73" t="s">
        <v>391</v>
      </c>
      <c r="CB3" s="73" t="s">
        <v>390</v>
      </c>
      <c r="CC3" s="73" t="s">
        <v>389</v>
      </c>
      <c r="CD3" s="73" t="s">
        <v>388</v>
      </c>
      <c r="CE3" s="73" t="s">
        <v>387</v>
      </c>
      <c r="CF3" s="73" t="s">
        <v>386</v>
      </c>
      <c r="CG3" s="73" t="s">
        <v>385</v>
      </c>
      <c r="CH3" s="73" t="s">
        <v>384</v>
      </c>
      <c r="CI3" s="73" t="s">
        <v>383</v>
      </c>
      <c r="CJ3" s="73" t="s">
        <v>382</v>
      </c>
      <c r="CK3" s="73" t="s">
        <v>381</v>
      </c>
      <c r="CL3" s="73" t="s">
        <v>380</v>
      </c>
      <c r="CM3" s="73" t="s">
        <v>379</v>
      </c>
      <c r="CN3" s="73" t="s">
        <v>378</v>
      </c>
      <c r="CO3" s="73" t="s">
        <v>377</v>
      </c>
      <c r="CP3" s="73" t="s">
        <v>376</v>
      </c>
      <c r="CQ3" s="73" t="s">
        <v>375</v>
      </c>
      <c r="CR3" s="73" t="s">
        <v>374</v>
      </c>
      <c r="CS3" s="73" t="s">
        <v>373</v>
      </c>
      <c r="CT3" s="73" t="s">
        <v>372</v>
      </c>
      <c r="CU3" s="73" t="s">
        <v>371</v>
      </c>
      <c r="CV3" s="73" t="s">
        <v>370</v>
      </c>
      <c r="CW3" s="73" t="s">
        <v>369</v>
      </c>
      <c r="CX3" s="73" t="s">
        <v>368</v>
      </c>
      <c r="CY3" s="73" t="s">
        <v>367</v>
      </c>
      <c r="CZ3" s="73" t="s">
        <v>366</v>
      </c>
      <c r="DA3" s="73" t="s">
        <v>365</v>
      </c>
      <c r="DB3" s="73" t="s">
        <v>364</v>
      </c>
      <c r="DC3" s="73" t="s">
        <v>363</v>
      </c>
      <c r="DD3" s="73" t="s">
        <v>362</v>
      </c>
      <c r="DE3" s="73" t="s">
        <v>361</v>
      </c>
      <c r="DF3" s="73" t="s">
        <v>360</v>
      </c>
      <c r="DG3" s="73" t="s">
        <v>359</v>
      </c>
      <c r="DH3" s="73" t="s">
        <v>358</v>
      </c>
      <c r="DI3" s="73" t="s">
        <v>357</v>
      </c>
      <c r="DJ3" s="73" t="s">
        <v>356</v>
      </c>
      <c r="DK3" s="73" t="s">
        <v>355</v>
      </c>
      <c r="DL3" s="73" t="s">
        <v>354</v>
      </c>
      <c r="DM3" s="73" t="s">
        <v>353</v>
      </c>
      <c r="DN3" s="73" t="s">
        <v>352</v>
      </c>
      <c r="DO3" s="73" t="s">
        <v>351</v>
      </c>
      <c r="DP3" s="73" t="s">
        <v>350</v>
      </c>
      <c r="DQ3" s="73" t="s">
        <v>349</v>
      </c>
      <c r="DR3" s="73" t="s">
        <v>348</v>
      </c>
      <c r="DS3" s="73" t="s">
        <v>347</v>
      </c>
      <c r="DT3" s="73" t="s">
        <v>346</v>
      </c>
      <c r="DU3" s="73" t="s">
        <v>345</v>
      </c>
      <c r="DV3" s="73" t="s">
        <v>344</v>
      </c>
      <c r="DW3" s="73" t="s">
        <v>343</v>
      </c>
      <c r="DX3" s="73" t="s">
        <v>342</v>
      </c>
      <c r="DY3" s="73" t="s">
        <v>341</v>
      </c>
      <c r="DZ3" s="73" t="s">
        <v>340</v>
      </c>
      <c r="EA3" s="73" t="s">
        <v>339</v>
      </c>
      <c r="EB3" s="73" t="s">
        <v>338</v>
      </c>
      <c r="EC3" s="73" t="s">
        <v>337</v>
      </c>
      <c r="ED3" s="73" t="s">
        <v>336</v>
      </c>
      <c r="EE3" s="73" t="s">
        <v>335</v>
      </c>
      <c r="EF3" s="73" t="s">
        <v>334</v>
      </c>
      <c r="EG3" s="73" t="s">
        <v>333</v>
      </c>
      <c r="EH3" s="73" t="s">
        <v>332</v>
      </c>
      <c r="EI3" s="73" t="s">
        <v>331</v>
      </c>
      <c r="EJ3" s="73" t="s">
        <v>330</v>
      </c>
      <c r="EK3" s="73" t="s">
        <v>329</v>
      </c>
      <c r="EL3" s="73" t="s">
        <v>328</v>
      </c>
      <c r="EM3" s="73" t="s">
        <v>327</v>
      </c>
      <c r="EN3" s="73" t="s">
        <v>326</v>
      </c>
      <c r="EO3" s="73" t="s">
        <v>325</v>
      </c>
      <c r="EP3" s="73" t="s">
        <v>324</v>
      </c>
      <c r="EQ3" s="73" t="s">
        <v>323</v>
      </c>
      <c r="ER3" s="73" t="s">
        <v>322</v>
      </c>
      <c r="ES3" s="73" t="s">
        <v>321</v>
      </c>
      <c r="ET3" s="73" t="s">
        <v>320</v>
      </c>
      <c r="EU3" s="73" t="s">
        <v>319</v>
      </c>
      <c r="EV3" s="73" t="s">
        <v>318</v>
      </c>
      <c r="EW3" s="73" t="s">
        <v>317</v>
      </c>
      <c r="EX3" s="73" t="s">
        <v>316</v>
      </c>
      <c r="EY3" s="73" t="s">
        <v>315</v>
      </c>
      <c r="EZ3" s="73" t="s">
        <v>314</v>
      </c>
      <c r="FA3" s="73" t="s">
        <v>313</v>
      </c>
      <c r="FB3" s="73" t="s">
        <v>312</v>
      </c>
      <c r="FC3" s="73" t="s">
        <v>311</v>
      </c>
      <c r="FD3" s="73" t="s">
        <v>310</v>
      </c>
      <c r="FE3" s="73" t="s">
        <v>309</v>
      </c>
      <c r="FF3" s="73" t="s">
        <v>308</v>
      </c>
      <c r="FG3" s="73" t="s">
        <v>307</v>
      </c>
      <c r="FH3" s="73" t="s">
        <v>306</v>
      </c>
      <c r="FI3" s="73" t="s">
        <v>305</v>
      </c>
      <c r="FJ3" s="73" t="s">
        <v>304</v>
      </c>
      <c r="FK3" s="73" t="s">
        <v>303</v>
      </c>
      <c r="FL3" s="73" t="s">
        <v>302</v>
      </c>
      <c r="FM3" s="73" t="s">
        <v>301</v>
      </c>
      <c r="FN3" s="73" t="s">
        <v>300</v>
      </c>
      <c r="FO3" s="73" t="s">
        <v>299</v>
      </c>
      <c r="FP3" s="73" t="s">
        <v>298</v>
      </c>
      <c r="FQ3" s="73" t="s">
        <v>297</v>
      </c>
      <c r="FR3" s="73" t="s">
        <v>296</v>
      </c>
      <c r="FS3" s="73" t="s">
        <v>295</v>
      </c>
      <c r="FT3" s="73" t="s">
        <v>294</v>
      </c>
      <c r="FU3" s="73" t="s">
        <v>293</v>
      </c>
      <c r="FV3" s="73" t="s">
        <v>292</v>
      </c>
      <c r="FW3" s="73" t="s">
        <v>291</v>
      </c>
      <c r="FX3" s="73" t="s">
        <v>290</v>
      </c>
      <c r="FY3" s="73" t="s">
        <v>289</v>
      </c>
      <c r="FZ3" s="73" t="s">
        <v>288</v>
      </c>
      <c r="GA3" s="73" t="s">
        <v>287</v>
      </c>
      <c r="GB3" s="73" t="s">
        <v>286</v>
      </c>
      <c r="GC3" s="73" t="s">
        <v>285</v>
      </c>
      <c r="GD3" s="73" t="s">
        <v>284</v>
      </c>
      <c r="GE3" s="73" t="s">
        <v>283</v>
      </c>
      <c r="GF3" s="73" t="s">
        <v>282</v>
      </c>
      <c r="GG3" s="73" t="s">
        <v>281</v>
      </c>
      <c r="GH3" s="73" t="s">
        <v>280</v>
      </c>
      <c r="GI3" s="73" t="s">
        <v>279</v>
      </c>
      <c r="GJ3" s="73" t="s">
        <v>278</v>
      </c>
      <c r="GK3" s="73" t="s">
        <v>277</v>
      </c>
      <c r="GL3" s="73" t="s">
        <v>276</v>
      </c>
      <c r="GM3" s="73" t="s">
        <v>275</v>
      </c>
      <c r="GN3" s="73" t="s">
        <v>274</v>
      </c>
      <c r="GO3" s="73" t="s">
        <v>273</v>
      </c>
      <c r="GP3" s="73" t="s">
        <v>272</v>
      </c>
      <c r="GQ3" s="73" t="s">
        <v>271</v>
      </c>
      <c r="GR3" s="73" t="s">
        <v>270</v>
      </c>
      <c r="GS3" s="73" t="s">
        <v>269</v>
      </c>
      <c r="GT3" s="73" t="s">
        <v>268</v>
      </c>
      <c r="GU3" s="73" t="s">
        <v>267</v>
      </c>
      <c r="GV3" s="73" t="s">
        <v>266</v>
      </c>
      <c r="GW3" s="73" t="s">
        <v>265</v>
      </c>
      <c r="GX3" s="73" t="s">
        <v>264</v>
      </c>
      <c r="GY3" s="73" t="s">
        <v>263</v>
      </c>
      <c r="GZ3" s="73" t="s">
        <v>262</v>
      </c>
      <c r="HA3" s="73" t="s">
        <v>261</v>
      </c>
      <c r="HB3" s="73" t="s">
        <v>260</v>
      </c>
      <c r="HC3" s="73" t="s">
        <v>259</v>
      </c>
      <c r="HD3" s="73" t="s">
        <v>258</v>
      </c>
      <c r="HE3" s="73" t="s">
        <v>257</v>
      </c>
      <c r="HF3" s="73" t="s">
        <v>256</v>
      </c>
      <c r="HG3" s="73" t="s">
        <v>255</v>
      </c>
      <c r="HH3" s="73" t="s">
        <v>254</v>
      </c>
      <c r="HI3" s="73" t="s">
        <v>253</v>
      </c>
      <c r="HJ3" s="73" t="s">
        <v>252</v>
      </c>
      <c r="HK3" s="73" t="s">
        <v>251</v>
      </c>
      <c r="HL3" s="73" t="s">
        <v>250</v>
      </c>
      <c r="HM3" s="73" t="s">
        <v>249</v>
      </c>
      <c r="HN3" s="73" t="s">
        <v>248</v>
      </c>
      <c r="HO3" s="73" t="s">
        <v>247</v>
      </c>
      <c r="HP3" s="73" t="s">
        <v>246</v>
      </c>
      <c r="HQ3" s="73" t="s">
        <v>245</v>
      </c>
      <c r="HR3" s="73" t="s">
        <v>244</v>
      </c>
      <c r="HS3" s="73" t="s">
        <v>243</v>
      </c>
      <c r="HT3" s="73" t="s">
        <v>242</v>
      </c>
      <c r="HU3" s="73" t="s">
        <v>241</v>
      </c>
      <c r="HV3" s="73" t="s">
        <v>240</v>
      </c>
      <c r="HW3" s="73" t="s">
        <v>239</v>
      </c>
      <c r="HX3" s="73" t="s">
        <v>238</v>
      </c>
      <c r="HY3" s="73" t="s">
        <v>237</v>
      </c>
      <c r="HZ3" s="73" t="s">
        <v>236</v>
      </c>
      <c r="IA3" s="73" t="s">
        <v>235</v>
      </c>
      <c r="IB3" s="73" t="s">
        <v>234</v>
      </c>
      <c r="IC3" s="73" t="s">
        <v>233</v>
      </c>
      <c r="ID3" s="73" t="s">
        <v>232</v>
      </c>
      <c r="IE3" s="73" t="s">
        <v>231</v>
      </c>
      <c r="IF3" s="73" t="s">
        <v>230</v>
      </c>
      <c r="IG3" s="73" t="s">
        <v>229</v>
      </c>
      <c r="IH3" s="73" t="s">
        <v>228</v>
      </c>
      <c r="II3" s="73" t="s">
        <v>227</v>
      </c>
      <c r="IJ3" s="73" t="s">
        <v>226</v>
      </c>
      <c r="IK3" s="73" t="s">
        <v>225</v>
      </c>
      <c r="IL3" s="73" t="s">
        <v>224</v>
      </c>
      <c r="IM3" s="73" t="s">
        <v>223</v>
      </c>
    </row>
    <row r="4" spans="1:247" x14ac:dyDescent="0.35">
      <c r="A4" s="65" t="str">
        <f t="shared" ref="A4:A67" si="0">IF(C4&gt;0,"x","")</f>
        <v/>
      </c>
      <c r="B4" s="68" t="str">
        <f>Stoff!A4</f>
        <v>Arsen</v>
      </c>
      <c r="C4" s="67">
        <f t="shared" ref="C4:C67" si="1">COUNT(G4:IV4)</f>
        <v>0</v>
      </c>
      <c r="D4" s="55">
        <f t="shared" ref="D4:D67" si="2">MAXA(G4:IV4)</f>
        <v>0</v>
      </c>
      <c r="E4" s="55" t="e">
        <f t="shared" ref="E4:E67" si="3">AVERAGE(G4:IV4)</f>
        <v>#DIV/0!</v>
      </c>
      <c r="F4" s="66" t="e">
        <f t="shared" ref="F4:F67" si="4">D4/MEDIAN(G4:IV4)</f>
        <v>#NUM!</v>
      </c>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70"/>
      <c r="EE4" s="70"/>
      <c r="EF4" s="70"/>
      <c r="EG4" s="70"/>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row>
    <row r="5" spans="1:247" x14ac:dyDescent="0.35">
      <c r="A5" s="65" t="str">
        <f t="shared" si="0"/>
        <v/>
      </c>
      <c r="B5" s="68" t="str">
        <f>Stoff!A5</f>
        <v>Bly</v>
      </c>
      <c r="C5" s="67">
        <f t="shared" si="1"/>
        <v>0</v>
      </c>
      <c r="D5" s="55">
        <f t="shared" si="2"/>
        <v>0</v>
      </c>
      <c r="E5" s="55" t="e">
        <f t="shared" si="3"/>
        <v>#DIV/0!</v>
      </c>
      <c r="F5" s="66" t="e">
        <f t="shared" si="4"/>
        <v>#NUM!</v>
      </c>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70"/>
      <c r="EE5" s="70"/>
      <c r="EF5" s="70"/>
      <c r="EG5" s="70"/>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row>
    <row r="6" spans="1:247" x14ac:dyDescent="0.35">
      <c r="A6" s="65" t="str">
        <f t="shared" si="0"/>
        <v/>
      </c>
      <c r="B6" s="68" t="str">
        <f>Stoff!A6</f>
        <v>Kadmium</v>
      </c>
      <c r="C6" s="67">
        <f t="shared" si="1"/>
        <v>0</v>
      </c>
      <c r="D6" s="55">
        <f t="shared" si="2"/>
        <v>0</v>
      </c>
      <c r="E6" s="55" t="e">
        <f t="shared" si="3"/>
        <v>#DIV/0!</v>
      </c>
      <c r="F6" s="66" t="e">
        <f t="shared" si="4"/>
        <v>#NUM!</v>
      </c>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70"/>
      <c r="EE6" s="70"/>
      <c r="EF6" s="70"/>
      <c r="EG6" s="70"/>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row>
    <row r="7" spans="1:247" x14ac:dyDescent="0.35">
      <c r="A7" s="65" t="str">
        <f t="shared" si="0"/>
        <v/>
      </c>
      <c r="B7" s="68" t="str">
        <f>Stoff!A7</f>
        <v>Kvikksølv</v>
      </c>
      <c r="C7" s="67">
        <f t="shared" si="1"/>
        <v>0</v>
      </c>
      <c r="D7" s="55">
        <f t="shared" si="2"/>
        <v>0</v>
      </c>
      <c r="E7" s="55" t="e">
        <f t="shared" si="3"/>
        <v>#DIV/0!</v>
      </c>
      <c r="F7" s="66" t="e">
        <f t="shared" si="4"/>
        <v>#NUM!</v>
      </c>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70"/>
      <c r="EE7" s="70"/>
      <c r="EF7" s="70"/>
      <c r="EG7" s="70"/>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row>
    <row r="8" spans="1:247" x14ac:dyDescent="0.35">
      <c r="A8" s="65" t="str">
        <f t="shared" si="0"/>
        <v/>
      </c>
      <c r="B8" s="68" t="str">
        <f>Stoff!A8</f>
        <v>Kobber</v>
      </c>
      <c r="C8" s="67">
        <f t="shared" si="1"/>
        <v>0</v>
      </c>
      <c r="D8" s="55">
        <f t="shared" si="2"/>
        <v>0</v>
      </c>
      <c r="E8" s="55" t="e">
        <f t="shared" si="3"/>
        <v>#DIV/0!</v>
      </c>
      <c r="F8" s="66" t="e">
        <f t="shared" si="4"/>
        <v>#NUM!</v>
      </c>
      <c r="G8" s="56"/>
      <c r="H8" s="56"/>
      <c r="I8" s="56"/>
      <c r="J8" s="56"/>
      <c r="K8" s="56"/>
      <c r="L8" s="72"/>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70"/>
      <c r="EE8" s="70"/>
      <c r="EF8" s="70"/>
      <c r="EG8" s="70"/>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row>
    <row r="9" spans="1:247" x14ac:dyDescent="0.35">
      <c r="A9" s="65" t="str">
        <f t="shared" si="0"/>
        <v/>
      </c>
      <c r="B9" s="68" t="str">
        <f>Stoff!A9</f>
        <v>Sink</v>
      </c>
      <c r="C9" s="67">
        <f t="shared" si="1"/>
        <v>0</v>
      </c>
      <c r="D9" s="55">
        <f t="shared" si="2"/>
        <v>0</v>
      </c>
      <c r="E9" s="55" t="e">
        <f t="shared" si="3"/>
        <v>#DIV/0!</v>
      </c>
      <c r="F9" s="66" t="e">
        <f t="shared" si="4"/>
        <v>#NUM!</v>
      </c>
      <c r="G9" s="56"/>
      <c r="H9" s="56"/>
      <c r="I9" s="56"/>
      <c r="J9" s="56"/>
      <c r="K9" s="56"/>
      <c r="L9" s="72"/>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70"/>
      <c r="EE9" s="70"/>
      <c r="EF9" s="70"/>
      <c r="EG9" s="70"/>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row>
    <row r="10" spans="1:247" x14ac:dyDescent="0.35">
      <c r="A10" s="65" t="str">
        <f t="shared" si="0"/>
        <v/>
      </c>
      <c r="B10" s="68" t="str">
        <f>Stoff!A10</f>
        <v>Krom (III)</v>
      </c>
      <c r="C10" s="67">
        <f t="shared" si="1"/>
        <v>0</v>
      </c>
      <c r="D10" s="55">
        <f t="shared" si="2"/>
        <v>0</v>
      </c>
      <c r="E10" s="55" t="e">
        <f t="shared" si="3"/>
        <v>#DIV/0!</v>
      </c>
      <c r="F10" s="66" t="e">
        <f t="shared" si="4"/>
        <v>#NUM!</v>
      </c>
      <c r="G10" s="56"/>
      <c r="H10" s="56"/>
      <c r="I10" s="56"/>
      <c r="J10" s="56"/>
      <c r="K10" s="56"/>
      <c r="L10" s="72"/>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70"/>
      <c r="EE10" s="70"/>
      <c r="EF10" s="70"/>
      <c r="EG10" s="70"/>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row>
    <row r="11" spans="1:247" x14ac:dyDescent="0.35">
      <c r="A11" s="65" t="str">
        <f t="shared" si="0"/>
        <v/>
      </c>
      <c r="B11" s="68" t="str">
        <f>Stoff!A11</f>
        <v>Krom (VI)</v>
      </c>
      <c r="C11" s="67">
        <f t="shared" si="1"/>
        <v>0</v>
      </c>
      <c r="D11" s="55">
        <f t="shared" si="2"/>
        <v>0</v>
      </c>
      <c r="E11" s="55" t="e">
        <f t="shared" si="3"/>
        <v>#DIV/0!</v>
      </c>
      <c r="F11" s="66" t="e">
        <f t="shared" si="4"/>
        <v>#NUM!</v>
      </c>
      <c r="G11" s="56"/>
      <c r="H11" s="56"/>
      <c r="I11" s="56"/>
      <c r="J11" s="56"/>
      <c r="K11" s="56"/>
      <c r="L11" s="72"/>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70"/>
      <c r="EE11" s="70"/>
      <c r="EF11" s="70"/>
      <c r="EG11" s="70"/>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row>
    <row r="12" spans="1:247" x14ac:dyDescent="0.35">
      <c r="A12" s="65" t="str">
        <f t="shared" si="0"/>
        <v/>
      </c>
      <c r="B12" s="68" t="str">
        <f>Stoff!A12</f>
        <v>Krom totalt (III + VI)</v>
      </c>
      <c r="C12" s="67">
        <f t="shared" si="1"/>
        <v>0</v>
      </c>
      <c r="D12" s="55">
        <f t="shared" si="2"/>
        <v>0</v>
      </c>
      <c r="E12" s="55" t="e">
        <f t="shared" si="3"/>
        <v>#DIV/0!</v>
      </c>
      <c r="F12" s="66" t="e">
        <f t="shared" si="4"/>
        <v>#NUM!</v>
      </c>
      <c r="G12" s="56"/>
      <c r="H12" s="56"/>
      <c r="I12" s="56"/>
      <c r="J12" s="56"/>
      <c r="K12" s="56"/>
      <c r="L12" s="56"/>
      <c r="M12" s="56"/>
      <c r="N12" s="56"/>
      <c r="O12" s="56"/>
      <c r="P12" s="56"/>
      <c r="Q12" s="56"/>
      <c r="R12" s="56"/>
      <c r="S12" s="56"/>
      <c r="T12" s="56"/>
      <c r="U12" s="56"/>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70"/>
      <c r="EE12" s="70"/>
      <c r="EF12" s="70"/>
      <c r="EG12" s="70"/>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row>
    <row r="13" spans="1:247" x14ac:dyDescent="0.35">
      <c r="A13" s="65" t="str">
        <f t="shared" si="0"/>
        <v/>
      </c>
      <c r="B13" s="68" t="str">
        <f>Stoff!A13</f>
        <v>Nikkel</v>
      </c>
      <c r="C13" s="67">
        <f t="shared" si="1"/>
        <v>0</v>
      </c>
      <c r="D13" s="55">
        <f t="shared" si="2"/>
        <v>0</v>
      </c>
      <c r="E13" s="55" t="e">
        <f t="shared" si="3"/>
        <v>#DIV/0!</v>
      </c>
      <c r="F13" s="66" t="e">
        <f t="shared" si="4"/>
        <v>#NUM!</v>
      </c>
      <c r="G13" s="56"/>
      <c r="H13" s="56"/>
      <c r="I13" s="56"/>
      <c r="J13" s="56"/>
      <c r="K13" s="56"/>
      <c r="L13" s="56"/>
      <c r="M13" s="56"/>
      <c r="N13" s="56"/>
      <c r="O13" s="56"/>
      <c r="P13" s="56"/>
      <c r="Q13" s="56"/>
      <c r="R13" s="56"/>
      <c r="S13" s="56"/>
      <c r="T13" s="56"/>
      <c r="U13" s="56"/>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70"/>
      <c r="EE13" s="70"/>
      <c r="EF13" s="70"/>
      <c r="EG13" s="70"/>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row>
    <row r="14" spans="1:247" x14ac:dyDescent="0.35">
      <c r="A14" s="65" t="str">
        <f t="shared" si="0"/>
        <v/>
      </c>
      <c r="B14" s="68" t="str">
        <f>Stoff!A14</f>
        <v>Cyanid fri</v>
      </c>
      <c r="C14" s="67">
        <f t="shared" si="1"/>
        <v>0</v>
      </c>
      <c r="D14" s="55">
        <f t="shared" si="2"/>
        <v>0</v>
      </c>
      <c r="E14" s="55" t="e">
        <f t="shared" si="3"/>
        <v>#DIV/0!</v>
      </c>
      <c r="F14" s="66" t="e">
        <f t="shared" si="4"/>
        <v>#NUM!</v>
      </c>
      <c r="G14" s="56"/>
      <c r="H14" s="56"/>
      <c r="I14" s="56"/>
      <c r="J14" s="56"/>
      <c r="K14" s="56"/>
      <c r="L14" s="56"/>
      <c r="M14" s="56"/>
      <c r="N14" s="56"/>
      <c r="O14" s="56"/>
      <c r="P14" s="56"/>
      <c r="Q14" s="56"/>
      <c r="R14" s="56"/>
      <c r="S14" s="56"/>
      <c r="T14" s="56"/>
      <c r="U14" s="56"/>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70"/>
      <c r="EE14" s="70"/>
      <c r="EF14" s="70"/>
      <c r="EG14" s="70"/>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row>
    <row r="15" spans="1:247" x14ac:dyDescent="0.35">
      <c r="A15" s="65" t="str">
        <f t="shared" si="0"/>
        <v/>
      </c>
      <c r="B15" s="68" t="str">
        <f>Stoff!A15</f>
        <v>PCB CAS1336-36-3</v>
      </c>
      <c r="C15" s="67">
        <f t="shared" si="1"/>
        <v>0</v>
      </c>
      <c r="D15" s="55">
        <f t="shared" si="2"/>
        <v>0</v>
      </c>
      <c r="E15" s="55" t="e">
        <f t="shared" si="3"/>
        <v>#DIV/0!</v>
      </c>
      <c r="F15" s="66" t="e">
        <f t="shared" si="4"/>
        <v>#NUM!</v>
      </c>
      <c r="G15" s="56"/>
      <c r="H15" s="56"/>
      <c r="I15" s="56"/>
      <c r="J15" s="56"/>
      <c r="K15" s="56"/>
      <c r="L15" s="56"/>
      <c r="M15" s="56"/>
      <c r="N15" s="56"/>
      <c r="O15" s="56"/>
      <c r="P15" s="56"/>
      <c r="Q15" s="56"/>
      <c r="R15" s="56"/>
      <c r="S15" s="56"/>
      <c r="T15" s="56"/>
      <c r="U15" s="56"/>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70"/>
      <c r="EE15" s="70"/>
      <c r="EF15" s="70"/>
      <c r="EG15" s="70"/>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row>
    <row r="16" spans="1:247" x14ac:dyDescent="0.35">
      <c r="A16" s="65" t="str">
        <f t="shared" si="0"/>
        <v/>
      </c>
      <c r="B16" s="68" t="str">
        <f>Stoff!A16</f>
        <v>Lindan</v>
      </c>
      <c r="C16" s="67">
        <f t="shared" si="1"/>
        <v>0</v>
      </c>
      <c r="D16" s="55">
        <f t="shared" si="2"/>
        <v>0</v>
      </c>
      <c r="E16" s="55" t="e">
        <f t="shared" si="3"/>
        <v>#DIV/0!</v>
      </c>
      <c r="F16" s="66" t="e">
        <f t="shared" si="4"/>
        <v>#NUM!</v>
      </c>
      <c r="G16" s="56"/>
      <c r="H16" s="56"/>
      <c r="I16" s="56"/>
      <c r="J16" s="56"/>
      <c r="K16" s="56"/>
      <c r="L16" s="56"/>
      <c r="M16" s="56"/>
      <c r="N16" s="56"/>
      <c r="O16" s="56"/>
      <c r="P16" s="56"/>
      <c r="Q16" s="56"/>
      <c r="R16" s="56"/>
      <c r="S16" s="56"/>
      <c r="T16" s="56"/>
      <c r="U16" s="56"/>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70"/>
      <c r="EE16" s="70"/>
      <c r="EF16" s="70"/>
      <c r="EG16" s="70"/>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row>
    <row r="17" spans="1:247" x14ac:dyDescent="0.35">
      <c r="A17" s="65" t="str">
        <f t="shared" si="0"/>
        <v/>
      </c>
      <c r="B17" s="68" t="str">
        <f>Stoff!A17</f>
        <v>DDT</v>
      </c>
      <c r="C17" s="67">
        <f t="shared" si="1"/>
        <v>0</v>
      </c>
      <c r="D17" s="55">
        <f t="shared" si="2"/>
        <v>0</v>
      </c>
      <c r="E17" s="55" t="e">
        <f t="shared" si="3"/>
        <v>#DIV/0!</v>
      </c>
      <c r="F17" s="66" t="e">
        <f t="shared" si="4"/>
        <v>#NUM!</v>
      </c>
      <c r="G17" s="56"/>
      <c r="H17" s="56"/>
      <c r="I17" s="56"/>
      <c r="J17" s="56"/>
      <c r="K17" s="56"/>
      <c r="L17" s="56"/>
      <c r="M17" s="56"/>
      <c r="N17" s="56"/>
      <c r="O17" s="56"/>
      <c r="P17" s="56"/>
      <c r="Q17" s="56"/>
      <c r="R17" s="56"/>
      <c r="S17" s="56"/>
      <c r="T17" s="56"/>
      <c r="U17" s="56"/>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70"/>
      <c r="EE17" s="70"/>
      <c r="EF17" s="70"/>
      <c r="EG17" s="70"/>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row>
    <row r="18" spans="1:247" x14ac:dyDescent="0.35">
      <c r="A18" s="65" t="str">
        <f t="shared" si="0"/>
        <v/>
      </c>
      <c r="B18" s="68" t="str">
        <f>Stoff!A18</f>
        <v>Monoklorbensen</v>
      </c>
      <c r="C18" s="67">
        <f t="shared" si="1"/>
        <v>0</v>
      </c>
      <c r="D18" s="55">
        <f t="shared" si="2"/>
        <v>0</v>
      </c>
      <c r="E18" s="55" t="e">
        <f t="shared" si="3"/>
        <v>#DIV/0!</v>
      </c>
      <c r="F18" s="66" t="e">
        <f t="shared" si="4"/>
        <v>#NUM!</v>
      </c>
      <c r="G18" s="56"/>
      <c r="H18" s="56"/>
      <c r="I18" s="56"/>
      <c r="J18" s="56"/>
      <c r="K18" s="56"/>
      <c r="L18" s="56"/>
      <c r="M18" s="56"/>
      <c r="N18" s="56"/>
      <c r="O18" s="56"/>
      <c r="P18" s="56"/>
      <c r="Q18" s="56"/>
      <c r="R18" s="56"/>
      <c r="S18" s="56"/>
      <c r="T18" s="56"/>
      <c r="U18" s="56"/>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70"/>
      <c r="EE18" s="70"/>
      <c r="EF18" s="70"/>
      <c r="EG18" s="70"/>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row>
    <row r="19" spans="1:247" x14ac:dyDescent="0.35">
      <c r="A19" s="65" t="str">
        <f t="shared" si="0"/>
        <v/>
      </c>
      <c r="B19" s="68" t="str">
        <f>Stoff!A19</f>
        <v>1,2-diklorbensen</v>
      </c>
      <c r="C19" s="67">
        <f t="shared" si="1"/>
        <v>0</v>
      </c>
      <c r="D19" s="55">
        <f t="shared" si="2"/>
        <v>0</v>
      </c>
      <c r="E19" s="55" t="e">
        <f t="shared" si="3"/>
        <v>#DIV/0!</v>
      </c>
      <c r="F19" s="66" t="e">
        <f t="shared" si="4"/>
        <v>#NUM!</v>
      </c>
      <c r="G19" s="56"/>
      <c r="H19" s="56"/>
      <c r="I19" s="56"/>
      <c r="J19" s="56"/>
      <c r="K19" s="56"/>
      <c r="L19" s="56"/>
      <c r="M19" s="56"/>
      <c r="N19" s="56"/>
      <c r="O19" s="56"/>
      <c r="P19" s="56"/>
      <c r="Q19" s="56"/>
      <c r="R19" s="56"/>
      <c r="S19" s="56"/>
      <c r="T19" s="56"/>
      <c r="U19" s="56"/>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70"/>
      <c r="EE19" s="70"/>
      <c r="EF19" s="70"/>
      <c r="EG19" s="70"/>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row>
    <row r="20" spans="1:247" x14ac:dyDescent="0.35">
      <c r="A20" s="65" t="str">
        <f t="shared" si="0"/>
        <v/>
      </c>
      <c r="B20" s="68" t="str">
        <f>Stoff!A20</f>
        <v>1,4-diklorbensen</v>
      </c>
      <c r="C20" s="67">
        <f t="shared" si="1"/>
        <v>0</v>
      </c>
      <c r="D20" s="55">
        <f t="shared" si="2"/>
        <v>0</v>
      </c>
      <c r="E20" s="55" t="e">
        <f t="shared" si="3"/>
        <v>#DIV/0!</v>
      </c>
      <c r="F20" s="66" t="e">
        <f t="shared" si="4"/>
        <v>#NUM!</v>
      </c>
      <c r="G20" s="56"/>
      <c r="H20" s="56"/>
      <c r="I20" s="56"/>
      <c r="J20" s="56"/>
      <c r="K20" s="56"/>
      <c r="L20" s="56"/>
      <c r="M20" s="56"/>
      <c r="N20" s="56"/>
      <c r="O20" s="56"/>
      <c r="P20" s="56"/>
      <c r="Q20" s="56"/>
      <c r="R20" s="56"/>
      <c r="S20" s="56"/>
      <c r="T20" s="56"/>
      <c r="U20" s="56"/>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70"/>
      <c r="EE20" s="70"/>
      <c r="EF20" s="70"/>
      <c r="EG20" s="70"/>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row>
    <row r="21" spans="1:247" x14ac:dyDescent="0.35">
      <c r="A21" s="65" t="str">
        <f t="shared" si="0"/>
        <v/>
      </c>
      <c r="B21" s="68" t="str">
        <f>Stoff!A21</f>
        <v>1,2,4-triklorbensen</v>
      </c>
      <c r="C21" s="67">
        <f t="shared" si="1"/>
        <v>0</v>
      </c>
      <c r="D21" s="55">
        <f t="shared" si="2"/>
        <v>0</v>
      </c>
      <c r="E21" s="55" t="e">
        <f t="shared" si="3"/>
        <v>#DIV/0!</v>
      </c>
      <c r="F21" s="66" t="e">
        <f t="shared" si="4"/>
        <v>#NUM!</v>
      </c>
      <c r="G21" s="56"/>
      <c r="H21" s="56"/>
      <c r="I21" s="56"/>
      <c r="J21" s="56"/>
      <c r="K21" s="56"/>
      <c r="L21" s="56"/>
      <c r="M21" s="56"/>
      <c r="N21" s="56"/>
      <c r="O21" s="56"/>
      <c r="P21" s="56"/>
      <c r="Q21" s="56"/>
      <c r="R21" s="56"/>
      <c r="S21" s="56"/>
      <c r="T21" s="56"/>
      <c r="U21" s="56"/>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70"/>
      <c r="EE21" s="70"/>
      <c r="EF21" s="70"/>
      <c r="EG21" s="70"/>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row>
    <row r="22" spans="1:247" x14ac:dyDescent="0.35">
      <c r="A22" s="65" t="str">
        <f t="shared" si="0"/>
        <v/>
      </c>
      <c r="B22" s="68" t="str">
        <f>Stoff!A22</f>
        <v>1,2,3-triklorbensen</v>
      </c>
      <c r="C22" s="67">
        <f t="shared" si="1"/>
        <v>0</v>
      </c>
      <c r="D22" s="55">
        <f t="shared" si="2"/>
        <v>0</v>
      </c>
      <c r="E22" s="55" t="e">
        <f t="shared" si="3"/>
        <v>#DIV/0!</v>
      </c>
      <c r="F22" s="66" t="e">
        <f t="shared" si="4"/>
        <v>#NUM!</v>
      </c>
      <c r="G22" s="56"/>
      <c r="H22" s="56"/>
      <c r="I22" s="56"/>
      <c r="J22" s="56"/>
      <c r="K22" s="56"/>
      <c r="L22" s="72"/>
      <c r="M22" s="56"/>
      <c r="N22" s="56"/>
      <c r="O22" s="56"/>
      <c r="P22" s="56"/>
      <c r="Q22" s="56"/>
      <c r="R22" s="56"/>
      <c r="S22" s="56"/>
      <c r="T22" s="56"/>
      <c r="U22" s="56"/>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70"/>
      <c r="EE22" s="70"/>
      <c r="EF22" s="70"/>
      <c r="EG22" s="70"/>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row>
    <row r="23" spans="1:247" x14ac:dyDescent="0.35">
      <c r="A23" s="65" t="str">
        <f t="shared" si="0"/>
        <v/>
      </c>
      <c r="B23" s="68" t="str">
        <f>Stoff!A23</f>
        <v>1,3,5-triklorbensen</v>
      </c>
      <c r="C23" s="67">
        <f t="shared" si="1"/>
        <v>0</v>
      </c>
      <c r="D23" s="55">
        <f t="shared" si="2"/>
        <v>0</v>
      </c>
      <c r="E23" s="55" t="e">
        <f t="shared" si="3"/>
        <v>#DIV/0!</v>
      </c>
      <c r="F23" s="66" t="e">
        <f t="shared" si="4"/>
        <v>#NUM!</v>
      </c>
      <c r="G23" s="56"/>
      <c r="H23" s="56"/>
      <c r="I23" s="56"/>
      <c r="J23" s="56"/>
      <c r="K23" s="56"/>
      <c r="L23" s="72"/>
      <c r="M23" s="56"/>
      <c r="N23" s="56"/>
      <c r="O23" s="56"/>
      <c r="P23" s="56"/>
      <c r="Q23" s="56"/>
      <c r="R23" s="56"/>
      <c r="S23" s="56"/>
      <c r="T23" s="56"/>
      <c r="U23" s="56"/>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70"/>
      <c r="EE23" s="70"/>
      <c r="EF23" s="70"/>
      <c r="EG23" s="70"/>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row>
    <row r="24" spans="1:247" x14ac:dyDescent="0.35">
      <c r="A24" s="65" t="str">
        <f t="shared" si="0"/>
        <v/>
      </c>
      <c r="B24" s="68" t="str">
        <f>Stoff!A24</f>
        <v>1,2,4,5-tetraklorbensen</v>
      </c>
      <c r="C24" s="67">
        <f t="shared" si="1"/>
        <v>0</v>
      </c>
      <c r="D24" s="55">
        <f t="shared" si="2"/>
        <v>0</v>
      </c>
      <c r="E24" s="55" t="e">
        <f t="shared" si="3"/>
        <v>#DIV/0!</v>
      </c>
      <c r="F24" s="66" t="e">
        <f t="shared" si="4"/>
        <v>#NUM!</v>
      </c>
      <c r="G24" s="56"/>
      <c r="H24" s="56"/>
      <c r="I24" s="56"/>
      <c r="J24" s="56"/>
      <c r="K24" s="56"/>
      <c r="L24" s="72"/>
      <c r="M24" s="56"/>
      <c r="N24" s="56"/>
      <c r="O24" s="56"/>
      <c r="P24" s="56"/>
      <c r="Q24" s="56"/>
      <c r="R24" s="56"/>
      <c r="S24" s="56"/>
      <c r="T24" s="56"/>
      <c r="U24" s="56"/>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70"/>
      <c r="EE24" s="70"/>
      <c r="EF24" s="70"/>
      <c r="EG24" s="70"/>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row>
    <row r="25" spans="1:247" x14ac:dyDescent="0.35">
      <c r="A25" s="65" t="str">
        <f t="shared" si="0"/>
        <v/>
      </c>
      <c r="B25" s="68" t="str">
        <f>Stoff!A25</f>
        <v>Pentaklorbensen</v>
      </c>
      <c r="C25" s="67">
        <f t="shared" si="1"/>
        <v>0</v>
      </c>
      <c r="D25" s="55">
        <f t="shared" si="2"/>
        <v>0</v>
      </c>
      <c r="E25" s="55" t="e">
        <f t="shared" si="3"/>
        <v>#DIV/0!</v>
      </c>
      <c r="F25" s="66" t="e">
        <f t="shared" si="4"/>
        <v>#NUM!</v>
      </c>
      <c r="G25" s="56"/>
      <c r="H25" s="56"/>
      <c r="I25" s="56"/>
      <c r="J25" s="56"/>
      <c r="K25" s="56"/>
      <c r="L25" s="72"/>
      <c r="M25" s="56"/>
      <c r="N25" s="56"/>
      <c r="O25" s="56"/>
      <c r="P25" s="56"/>
      <c r="Q25" s="56"/>
      <c r="R25" s="56"/>
      <c r="S25" s="56"/>
      <c r="T25" s="56"/>
      <c r="U25" s="56"/>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70"/>
      <c r="EE25" s="70"/>
      <c r="EF25" s="70"/>
      <c r="EG25" s="70"/>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row>
    <row r="26" spans="1:247" x14ac:dyDescent="0.35">
      <c r="A26" s="65" t="str">
        <f t="shared" si="0"/>
        <v/>
      </c>
      <c r="B26" s="68" t="str">
        <f>Stoff!A26</f>
        <v>Heksaklorbensen</v>
      </c>
      <c r="C26" s="67">
        <f t="shared" si="1"/>
        <v>0</v>
      </c>
      <c r="D26" s="55">
        <f t="shared" si="2"/>
        <v>0</v>
      </c>
      <c r="E26" s="55" t="e">
        <f t="shared" si="3"/>
        <v>#DIV/0!</v>
      </c>
      <c r="F26" s="66" t="e">
        <f t="shared" si="4"/>
        <v>#NUM!</v>
      </c>
      <c r="G26" s="56"/>
      <c r="H26" s="56"/>
      <c r="I26" s="56"/>
      <c r="J26" s="56"/>
      <c r="K26" s="56"/>
      <c r="L26" s="72"/>
      <c r="M26" s="56"/>
      <c r="N26" s="56"/>
      <c r="O26" s="56"/>
      <c r="P26" s="56"/>
      <c r="Q26" s="56"/>
      <c r="R26" s="56"/>
      <c r="S26" s="56"/>
      <c r="T26" s="56"/>
      <c r="U26" s="56"/>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70"/>
      <c r="EE26" s="70"/>
      <c r="EF26" s="70"/>
      <c r="EG26" s="70"/>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row>
    <row r="27" spans="1:247" x14ac:dyDescent="0.35">
      <c r="A27" s="65" t="str">
        <f t="shared" si="0"/>
        <v/>
      </c>
      <c r="B27" s="68" t="str">
        <f>Stoff!A27</f>
        <v>Diklormetan</v>
      </c>
      <c r="C27" s="67">
        <f t="shared" si="1"/>
        <v>0</v>
      </c>
      <c r="D27" s="55">
        <f t="shared" si="2"/>
        <v>0</v>
      </c>
      <c r="E27" s="55" t="e">
        <f t="shared" si="3"/>
        <v>#DIV/0!</v>
      </c>
      <c r="F27" s="66" t="e">
        <f t="shared" si="4"/>
        <v>#NUM!</v>
      </c>
      <c r="G27" s="56"/>
      <c r="H27" s="56"/>
      <c r="I27" s="56"/>
      <c r="J27" s="56"/>
      <c r="K27" s="56"/>
      <c r="L27" s="72"/>
      <c r="M27" s="56"/>
      <c r="N27" s="56"/>
      <c r="O27" s="56"/>
      <c r="P27" s="56"/>
      <c r="Q27" s="56"/>
      <c r="R27" s="56"/>
      <c r="S27" s="56"/>
      <c r="T27" s="56"/>
      <c r="U27" s="56"/>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70"/>
      <c r="EE27" s="70"/>
      <c r="EF27" s="70"/>
      <c r="EG27" s="70"/>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row>
    <row r="28" spans="1:247" x14ac:dyDescent="0.35">
      <c r="A28" s="65" t="str">
        <f t="shared" si="0"/>
        <v/>
      </c>
      <c r="B28" s="68" t="str">
        <f>Stoff!A28</f>
        <v>Triklormetan</v>
      </c>
      <c r="C28" s="67">
        <f t="shared" si="1"/>
        <v>0</v>
      </c>
      <c r="D28" s="55">
        <f t="shared" si="2"/>
        <v>0</v>
      </c>
      <c r="E28" s="55" t="e">
        <f t="shared" si="3"/>
        <v>#DIV/0!</v>
      </c>
      <c r="F28" s="66" t="e">
        <f t="shared" si="4"/>
        <v>#NUM!</v>
      </c>
      <c r="G28" s="56"/>
      <c r="H28" s="56"/>
      <c r="I28" s="56"/>
      <c r="J28" s="56"/>
      <c r="K28" s="56"/>
      <c r="L28" s="72"/>
      <c r="M28" s="56"/>
      <c r="N28" s="56"/>
      <c r="O28" s="56"/>
      <c r="P28" s="56"/>
      <c r="Q28" s="56"/>
      <c r="R28" s="56"/>
      <c r="S28" s="56"/>
      <c r="T28" s="56"/>
      <c r="U28" s="56"/>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70"/>
      <c r="EE28" s="70"/>
      <c r="EF28" s="70"/>
      <c r="EG28" s="70"/>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row>
    <row r="29" spans="1:247" x14ac:dyDescent="0.35">
      <c r="A29" s="65" t="str">
        <f t="shared" si="0"/>
        <v/>
      </c>
      <c r="B29" s="68" t="str">
        <f>Stoff!A29</f>
        <v>Trikloreten</v>
      </c>
      <c r="C29" s="67">
        <f t="shared" si="1"/>
        <v>0</v>
      </c>
      <c r="D29" s="55">
        <f t="shared" si="2"/>
        <v>0</v>
      </c>
      <c r="E29" s="55" t="e">
        <f t="shared" si="3"/>
        <v>#DIV/0!</v>
      </c>
      <c r="F29" s="66" t="e">
        <f t="shared" si="4"/>
        <v>#NUM!</v>
      </c>
      <c r="G29" s="56"/>
      <c r="H29" s="56"/>
      <c r="I29" s="56"/>
      <c r="J29" s="56"/>
      <c r="K29" s="56"/>
      <c r="L29" s="56"/>
      <c r="M29" s="56"/>
      <c r="N29" s="56"/>
      <c r="O29" s="56"/>
      <c r="P29" s="56"/>
      <c r="Q29" s="56"/>
      <c r="R29" s="56"/>
      <c r="S29" s="56"/>
      <c r="T29" s="56"/>
      <c r="U29" s="56"/>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70"/>
      <c r="EE29" s="70"/>
      <c r="EF29" s="70"/>
      <c r="EG29" s="70"/>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row>
    <row r="30" spans="1:247" x14ac:dyDescent="0.35">
      <c r="A30" s="65" t="str">
        <f t="shared" si="0"/>
        <v/>
      </c>
      <c r="B30" s="68" t="str">
        <f>Stoff!A30</f>
        <v>Tetraklormetan</v>
      </c>
      <c r="C30" s="67">
        <f t="shared" si="1"/>
        <v>0</v>
      </c>
      <c r="D30" s="55">
        <f t="shared" si="2"/>
        <v>0</v>
      </c>
      <c r="E30" s="55" t="e">
        <f t="shared" si="3"/>
        <v>#DIV/0!</v>
      </c>
      <c r="F30" s="66" t="e">
        <f t="shared" si="4"/>
        <v>#NUM!</v>
      </c>
      <c r="G30" s="56"/>
      <c r="H30" s="56"/>
      <c r="I30" s="56"/>
      <c r="J30" s="56"/>
      <c r="K30" s="56"/>
      <c r="L30" s="71"/>
      <c r="M30" s="71"/>
      <c r="N30" s="71"/>
      <c r="O30" s="71"/>
      <c r="P30" s="56"/>
      <c r="Q30" s="56"/>
      <c r="R30" s="56"/>
      <c r="S30" s="56"/>
      <c r="T30" s="56"/>
      <c r="U30" s="56"/>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70"/>
      <c r="EE30" s="70"/>
      <c r="EF30" s="70"/>
      <c r="EG30" s="70"/>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row>
    <row r="31" spans="1:247" x14ac:dyDescent="0.35">
      <c r="A31" s="65" t="str">
        <f t="shared" si="0"/>
        <v/>
      </c>
      <c r="B31" s="68" t="str">
        <f>Stoff!A31</f>
        <v>Tetrakloreten</v>
      </c>
      <c r="C31" s="67">
        <f t="shared" si="1"/>
        <v>0</v>
      </c>
      <c r="D31" s="55">
        <f t="shared" si="2"/>
        <v>0</v>
      </c>
      <c r="E31" s="55" t="e">
        <f t="shared" si="3"/>
        <v>#DIV/0!</v>
      </c>
      <c r="F31" s="66" t="e">
        <f t="shared" si="4"/>
        <v>#NUM!</v>
      </c>
      <c r="G31" s="56"/>
      <c r="H31" s="56"/>
      <c r="I31" s="56"/>
      <c r="J31" s="56"/>
      <c r="K31" s="56"/>
      <c r="L31" s="56"/>
      <c r="M31" s="56"/>
      <c r="N31" s="56"/>
      <c r="O31" s="56"/>
      <c r="P31" s="56"/>
      <c r="Q31" s="56"/>
      <c r="R31" s="56"/>
      <c r="S31" s="56"/>
      <c r="T31" s="56"/>
      <c r="U31" s="56"/>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70"/>
      <c r="EE31" s="70"/>
      <c r="EF31" s="70"/>
      <c r="EG31" s="70"/>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row>
    <row r="32" spans="1:247" x14ac:dyDescent="0.35">
      <c r="A32" s="65" t="str">
        <f t="shared" si="0"/>
        <v/>
      </c>
      <c r="B32" s="68" t="str">
        <f>Stoff!A32</f>
        <v>1,2-dikloretan</v>
      </c>
      <c r="C32" s="67">
        <f t="shared" si="1"/>
        <v>0</v>
      </c>
      <c r="D32" s="55">
        <f t="shared" si="2"/>
        <v>0</v>
      </c>
      <c r="E32" s="55" t="e">
        <f t="shared" si="3"/>
        <v>#DIV/0!</v>
      </c>
      <c r="F32" s="66" t="e">
        <f t="shared" si="4"/>
        <v>#NUM!</v>
      </c>
      <c r="G32" s="56"/>
      <c r="H32" s="56"/>
      <c r="I32" s="56"/>
      <c r="J32" s="56"/>
      <c r="K32" s="56"/>
      <c r="L32" s="56"/>
      <c r="M32" s="56"/>
      <c r="N32" s="56"/>
      <c r="O32" s="56"/>
      <c r="P32" s="56"/>
      <c r="Q32" s="56"/>
      <c r="R32" s="56"/>
      <c r="S32" s="56"/>
      <c r="T32" s="56"/>
      <c r="U32" s="56"/>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70"/>
      <c r="EE32" s="70"/>
      <c r="EF32" s="70"/>
      <c r="EG32" s="70"/>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row>
    <row r="33" spans="1:247" x14ac:dyDescent="0.35">
      <c r="A33" s="65" t="str">
        <f t="shared" si="0"/>
        <v/>
      </c>
      <c r="B33" s="68" t="str">
        <f>Stoff!A33</f>
        <v>1,2-dibrometan</v>
      </c>
      <c r="C33" s="67">
        <f t="shared" si="1"/>
        <v>0</v>
      </c>
      <c r="D33" s="55">
        <f t="shared" si="2"/>
        <v>0</v>
      </c>
      <c r="E33" s="55" t="e">
        <f t="shared" si="3"/>
        <v>#DIV/0!</v>
      </c>
      <c r="F33" s="66" t="e">
        <f t="shared" si="4"/>
        <v>#NUM!</v>
      </c>
      <c r="G33" s="56"/>
      <c r="H33" s="56"/>
      <c r="I33" s="56"/>
      <c r="J33" s="56"/>
      <c r="K33" s="56"/>
      <c r="L33" s="56"/>
      <c r="M33" s="56"/>
      <c r="N33" s="56"/>
      <c r="O33" s="56"/>
      <c r="P33" s="56"/>
      <c r="Q33" s="56"/>
      <c r="R33" s="56"/>
      <c r="S33" s="56"/>
      <c r="T33" s="56"/>
      <c r="U33" s="56"/>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70"/>
      <c r="EE33" s="70"/>
      <c r="EF33" s="70"/>
      <c r="EG33" s="70"/>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row>
    <row r="34" spans="1:247" x14ac:dyDescent="0.35">
      <c r="A34" s="65" t="str">
        <f t="shared" si="0"/>
        <v/>
      </c>
      <c r="B34" s="68" t="str">
        <f>Stoff!A34</f>
        <v>1,1,1-trikloretan</v>
      </c>
      <c r="C34" s="67">
        <f t="shared" si="1"/>
        <v>0</v>
      </c>
      <c r="D34" s="55">
        <f t="shared" si="2"/>
        <v>0</v>
      </c>
      <c r="E34" s="55" t="e">
        <f t="shared" si="3"/>
        <v>#DIV/0!</v>
      </c>
      <c r="F34" s="66" t="e">
        <f t="shared" si="4"/>
        <v>#NUM!</v>
      </c>
      <c r="G34" s="56"/>
      <c r="H34" s="56"/>
      <c r="I34" s="56"/>
      <c r="J34" s="56"/>
      <c r="K34" s="56"/>
      <c r="L34" s="56"/>
      <c r="M34" s="56"/>
      <c r="N34" s="56"/>
      <c r="O34" s="56"/>
      <c r="P34" s="56"/>
      <c r="Q34" s="56"/>
      <c r="R34" s="56"/>
      <c r="S34" s="56"/>
      <c r="T34" s="56"/>
      <c r="U34" s="56"/>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70"/>
      <c r="EE34" s="70"/>
      <c r="EF34" s="70"/>
      <c r="EG34" s="70"/>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row>
    <row r="35" spans="1:247" x14ac:dyDescent="0.35">
      <c r="A35" s="65" t="str">
        <f t="shared" si="0"/>
        <v/>
      </c>
      <c r="B35" s="68" t="str">
        <f>Stoff!A35</f>
        <v>1,1,2-trikloretan</v>
      </c>
      <c r="C35" s="67">
        <f t="shared" si="1"/>
        <v>0</v>
      </c>
      <c r="D35" s="55">
        <f t="shared" si="2"/>
        <v>0</v>
      </c>
      <c r="E35" s="55" t="e">
        <f t="shared" si="3"/>
        <v>#DIV/0!</v>
      </c>
      <c r="F35" s="66" t="e">
        <f t="shared" si="4"/>
        <v>#NUM!</v>
      </c>
      <c r="G35" s="56"/>
      <c r="H35" s="56"/>
      <c r="I35" s="56"/>
      <c r="J35" s="56"/>
      <c r="K35" s="56"/>
      <c r="L35" s="56"/>
      <c r="M35" s="56"/>
      <c r="N35" s="56"/>
      <c r="O35" s="56"/>
      <c r="P35" s="56"/>
      <c r="Q35" s="56"/>
      <c r="R35" s="56"/>
      <c r="S35" s="56"/>
      <c r="T35" s="56"/>
      <c r="U35" s="56"/>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70"/>
      <c r="EE35" s="70"/>
      <c r="EF35" s="70"/>
      <c r="EG35" s="70"/>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row>
    <row r="36" spans="1:247" x14ac:dyDescent="0.35">
      <c r="A36" s="65" t="str">
        <f t="shared" si="0"/>
        <v/>
      </c>
      <c r="B36" s="68" t="str">
        <f>Stoff!A36</f>
        <v>Fenol</v>
      </c>
      <c r="C36" s="67">
        <f t="shared" si="1"/>
        <v>0</v>
      </c>
      <c r="D36" s="55">
        <f t="shared" si="2"/>
        <v>0</v>
      </c>
      <c r="E36" s="55" t="e">
        <f t="shared" si="3"/>
        <v>#DIV/0!</v>
      </c>
      <c r="F36" s="66" t="e">
        <f t="shared" si="4"/>
        <v>#NUM!</v>
      </c>
      <c r="G36" s="56"/>
      <c r="H36" s="56"/>
      <c r="I36" s="56"/>
      <c r="J36" s="56"/>
      <c r="K36" s="56"/>
      <c r="L36" s="56"/>
      <c r="M36" s="56"/>
      <c r="N36" s="56"/>
      <c r="O36" s="56"/>
      <c r="P36" s="56"/>
      <c r="Q36" s="56"/>
      <c r="R36" s="56"/>
      <c r="S36" s="56"/>
      <c r="T36" s="56"/>
      <c r="U36" s="56"/>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70"/>
      <c r="EE36" s="70"/>
      <c r="EF36" s="70"/>
      <c r="EG36" s="70"/>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row>
    <row r="37" spans="1:247" x14ac:dyDescent="0.35">
      <c r="A37" s="65" t="str">
        <f t="shared" si="0"/>
        <v/>
      </c>
      <c r="B37" s="68" t="str">
        <f>Stoff!A37</f>
        <v>Sum mono,di,tri,tetra</v>
      </c>
      <c r="C37" s="67">
        <f t="shared" si="1"/>
        <v>0</v>
      </c>
      <c r="D37" s="55">
        <f t="shared" si="2"/>
        <v>0</v>
      </c>
      <c r="E37" s="55" t="e">
        <f t="shared" si="3"/>
        <v>#DIV/0!</v>
      </c>
      <c r="F37" s="66" t="e">
        <f t="shared" si="4"/>
        <v>#NUM!</v>
      </c>
      <c r="G37" s="56"/>
      <c r="H37" s="56"/>
      <c r="I37" s="56"/>
      <c r="J37" s="56"/>
      <c r="K37" s="56"/>
      <c r="L37" s="56"/>
      <c r="M37" s="56"/>
      <c r="N37" s="56"/>
      <c r="O37" s="56"/>
      <c r="P37" s="56"/>
      <c r="Q37" s="56"/>
      <c r="R37" s="56"/>
      <c r="S37" s="56"/>
      <c r="T37" s="56"/>
      <c r="U37" s="56"/>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row>
    <row r="38" spans="1:247" x14ac:dyDescent="0.35">
      <c r="A38" s="65" t="str">
        <f t="shared" si="0"/>
        <v/>
      </c>
      <c r="B38" s="68" t="str">
        <f>Stoff!A38</f>
        <v>Pentaklorfenol</v>
      </c>
      <c r="C38" s="67">
        <f t="shared" si="1"/>
        <v>0</v>
      </c>
      <c r="D38" s="55">
        <f t="shared" si="2"/>
        <v>0</v>
      </c>
      <c r="E38" s="55" t="e">
        <f t="shared" si="3"/>
        <v>#DIV/0!</v>
      </c>
      <c r="F38" s="66" t="e">
        <f t="shared" si="4"/>
        <v>#NUM!</v>
      </c>
      <c r="G38" s="56"/>
      <c r="H38" s="56"/>
      <c r="I38" s="56"/>
      <c r="J38" s="56"/>
      <c r="K38" s="56"/>
      <c r="L38" s="56"/>
      <c r="M38" s="56"/>
      <c r="N38" s="56"/>
      <c r="O38" s="56"/>
      <c r="P38" s="56"/>
      <c r="Q38" s="56"/>
      <c r="R38" s="56"/>
      <c r="S38" s="56"/>
      <c r="T38" s="56"/>
      <c r="U38" s="56"/>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69"/>
      <c r="EI38" s="69"/>
      <c r="EJ38" s="69"/>
      <c r="EK38" s="69"/>
      <c r="EL38" s="69"/>
      <c r="EM38" s="69"/>
      <c r="EN38" s="69"/>
      <c r="EO38" s="69"/>
      <c r="EP38" s="69"/>
      <c r="EQ38" s="69"/>
      <c r="ER38" s="69"/>
      <c r="ES38" s="69"/>
      <c r="ET38" s="69"/>
      <c r="EU38" s="69"/>
      <c r="EV38" s="69"/>
      <c r="EW38" s="69"/>
      <c r="EX38" s="69"/>
      <c r="EY38" s="69"/>
      <c r="EZ38" s="69"/>
      <c r="FA38" s="69"/>
    </row>
    <row r="39" spans="1:247" x14ac:dyDescent="0.35">
      <c r="A39" s="65" t="str">
        <f t="shared" si="0"/>
        <v/>
      </c>
      <c r="B39" s="68" t="str">
        <f>Stoff!A39</f>
        <v>PAH totalt</v>
      </c>
      <c r="C39" s="67">
        <f t="shared" si="1"/>
        <v>0</v>
      </c>
      <c r="D39" s="55">
        <f t="shared" si="2"/>
        <v>0</v>
      </c>
      <c r="E39" s="55" t="e">
        <f t="shared" si="3"/>
        <v>#DIV/0!</v>
      </c>
      <c r="F39" s="66" t="e">
        <f t="shared" si="4"/>
        <v>#NUM!</v>
      </c>
      <c r="G39" s="56"/>
      <c r="H39" s="56"/>
      <c r="I39" s="56"/>
      <c r="J39" s="56"/>
      <c r="K39" s="56"/>
      <c r="L39" s="56"/>
      <c r="M39" s="56"/>
      <c r="N39" s="56"/>
      <c r="O39" s="56"/>
      <c r="P39" s="56"/>
      <c r="Q39" s="56"/>
      <c r="R39" s="56"/>
      <c r="S39" s="56"/>
      <c r="T39" s="56"/>
      <c r="U39" s="56"/>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69"/>
      <c r="EI39" s="69"/>
      <c r="EJ39" s="69"/>
      <c r="EK39" s="69"/>
      <c r="EL39" s="69"/>
      <c r="EM39" s="69"/>
      <c r="EN39" s="69"/>
      <c r="EO39" s="69"/>
      <c r="EP39" s="69"/>
      <c r="EQ39" s="69"/>
      <c r="ER39" s="69"/>
      <c r="ES39" s="69"/>
      <c r="ET39" s="69"/>
      <c r="EU39" s="69"/>
      <c r="EV39" s="69"/>
      <c r="EW39" s="69"/>
      <c r="EX39" s="69"/>
      <c r="EY39" s="69"/>
      <c r="EZ39" s="69"/>
      <c r="FA39" s="69"/>
    </row>
    <row r="40" spans="1:247" x14ac:dyDescent="0.35">
      <c r="A40" s="65" t="str">
        <f t="shared" si="0"/>
        <v/>
      </c>
      <c r="B40" s="68" t="str">
        <f>Stoff!A40</f>
        <v>Naftalen</v>
      </c>
      <c r="C40" s="67">
        <f t="shared" si="1"/>
        <v>0</v>
      </c>
      <c r="D40" s="55">
        <f t="shared" si="2"/>
        <v>0</v>
      </c>
      <c r="E40" s="55" t="e">
        <f t="shared" si="3"/>
        <v>#DIV/0!</v>
      </c>
      <c r="F40" s="66" t="e">
        <f t="shared" si="4"/>
        <v>#NUM!</v>
      </c>
      <c r="G40" s="56"/>
      <c r="H40" s="56"/>
      <c r="I40" s="56"/>
      <c r="J40" s="56"/>
      <c r="K40" s="56"/>
      <c r="L40" s="56"/>
      <c r="M40" s="56"/>
      <c r="N40" s="56"/>
      <c r="O40" s="56"/>
      <c r="P40" s="56"/>
      <c r="Q40" s="56"/>
      <c r="R40" s="56"/>
      <c r="S40" s="56"/>
      <c r="T40" s="56"/>
      <c r="U40" s="56"/>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69"/>
      <c r="EI40" s="69"/>
      <c r="EJ40" s="69"/>
      <c r="EK40" s="69"/>
      <c r="EL40" s="69"/>
      <c r="EM40" s="69"/>
      <c r="EN40" s="69"/>
      <c r="EO40" s="69"/>
      <c r="EP40" s="69"/>
      <c r="EQ40" s="69"/>
      <c r="ER40" s="69"/>
      <c r="ES40" s="69"/>
      <c r="ET40" s="69"/>
      <c r="EU40" s="69"/>
      <c r="EV40" s="69"/>
      <c r="EW40" s="69"/>
      <c r="EX40" s="69"/>
      <c r="EY40" s="69"/>
      <c r="EZ40" s="69"/>
      <c r="FA40" s="69"/>
    </row>
    <row r="41" spans="1:247" x14ac:dyDescent="0.35">
      <c r="A41" s="65" t="str">
        <f t="shared" si="0"/>
        <v/>
      </c>
      <c r="B41" s="68" t="str">
        <f>Stoff!A41</f>
        <v>Acenaftalen</v>
      </c>
      <c r="C41" s="67">
        <f t="shared" si="1"/>
        <v>0</v>
      </c>
      <c r="D41" s="55">
        <f t="shared" si="2"/>
        <v>0</v>
      </c>
      <c r="E41" s="55" t="e">
        <f t="shared" si="3"/>
        <v>#DIV/0!</v>
      </c>
      <c r="F41" s="66" t="e">
        <f t="shared" si="4"/>
        <v>#NUM!</v>
      </c>
      <c r="G41" s="56"/>
      <c r="H41" s="56"/>
      <c r="I41" s="56"/>
      <c r="J41" s="56"/>
      <c r="K41" s="56"/>
      <c r="L41" s="56"/>
      <c r="M41" s="56"/>
      <c r="N41" s="56"/>
      <c r="O41" s="56"/>
      <c r="P41" s="56"/>
      <c r="Q41" s="56"/>
      <c r="R41" s="56"/>
      <c r="S41" s="56"/>
      <c r="T41" s="56"/>
      <c r="U41" s="56"/>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69"/>
      <c r="EI41" s="69"/>
      <c r="EJ41" s="69"/>
      <c r="EK41" s="69"/>
      <c r="EL41" s="69"/>
      <c r="EM41" s="69"/>
      <c r="EN41" s="69"/>
      <c r="EO41" s="69"/>
      <c r="EP41" s="69"/>
      <c r="EQ41" s="69"/>
      <c r="ER41" s="69"/>
      <c r="ES41" s="69"/>
      <c r="ET41" s="69"/>
      <c r="EU41" s="69"/>
      <c r="EV41" s="69"/>
      <c r="EW41" s="69"/>
      <c r="EX41" s="69"/>
      <c r="EY41" s="69"/>
      <c r="EZ41" s="69"/>
      <c r="FA41" s="69"/>
    </row>
    <row r="42" spans="1:247" x14ac:dyDescent="0.35">
      <c r="A42" s="65" t="str">
        <f t="shared" si="0"/>
        <v/>
      </c>
      <c r="B42" s="68" t="str">
        <f>Stoff!A42</f>
        <v>Acenaften</v>
      </c>
      <c r="C42" s="67">
        <f t="shared" si="1"/>
        <v>0</v>
      </c>
      <c r="D42" s="55">
        <f t="shared" si="2"/>
        <v>0</v>
      </c>
      <c r="E42" s="55" t="e">
        <f t="shared" si="3"/>
        <v>#DIV/0!</v>
      </c>
      <c r="F42" s="66" t="e">
        <f t="shared" si="4"/>
        <v>#NUM!</v>
      </c>
      <c r="G42" s="56"/>
      <c r="H42" s="56"/>
      <c r="I42" s="56"/>
      <c r="J42" s="56"/>
      <c r="K42" s="56"/>
      <c r="L42" s="56"/>
      <c r="M42" s="56"/>
      <c r="N42" s="56"/>
      <c r="O42" s="56"/>
      <c r="P42" s="56"/>
      <c r="Q42" s="56"/>
      <c r="R42" s="56"/>
      <c r="S42" s="56"/>
      <c r="T42" s="56"/>
      <c r="U42" s="56"/>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69"/>
      <c r="EI42" s="69"/>
      <c r="EJ42" s="69"/>
      <c r="EK42" s="69"/>
      <c r="EL42" s="69"/>
      <c r="EM42" s="69"/>
      <c r="EN42" s="69"/>
      <c r="EO42" s="69"/>
      <c r="EP42" s="69"/>
      <c r="EQ42" s="69"/>
      <c r="ER42" s="69"/>
      <c r="ES42" s="69"/>
      <c r="ET42" s="69"/>
      <c r="EU42" s="69"/>
      <c r="EV42" s="69"/>
      <c r="EW42" s="69"/>
      <c r="EX42" s="69"/>
      <c r="EY42" s="69"/>
      <c r="EZ42" s="69"/>
      <c r="FA42" s="69"/>
    </row>
    <row r="43" spans="1:247" x14ac:dyDescent="0.35">
      <c r="A43" s="65" t="str">
        <f t="shared" si="0"/>
        <v/>
      </c>
      <c r="B43" s="68" t="str">
        <f>Stoff!A43</f>
        <v>Fenantren</v>
      </c>
      <c r="C43" s="67">
        <f t="shared" si="1"/>
        <v>0</v>
      </c>
      <c r="D43" s="55">
        <f t="shared" si="2"/>
        <v>0</v>
      </c>
      <c r="E43" s="55" t="e">
        <f t="shared" si="3"/>
        <v>#DIV/0!</v>
      </c>
      <c r="F43" s="66" t="e">
        <f t="shared" si="4"/>
        <v>#NUM!</v>
      </c>
      <c r="G43" s="56"/>
      <c r="H43" s="56"/>
      <c r="I43" s="56"/>
      <c r="J43" s="56"/>
      <c r="K43" s="56"/>
      <c r="L43" s="56"/>
      <c r="M43" s="56"/>
      <c r="N43" s="56"/>
      <c r="O43" s="56"/>
      <c r="P43" s="56"/>
      <c r="Q43" s="56"/>
      <c r="R43" s="56"/>
      <c r="S43" s="56"/>
      <c r="T43" s="56"/>
      <c r="U43" s="56"/>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69"/>
      <c r="EI43" s="69"/>
      <c r="EJ43" s="69"/>
      <c r="EK43" s="69"/>
      <c r="EL43" s="69"/>
      <c r="EM43" s="69"/>
      <c r="EN43" s="69"/>
      <c r="EO43" s="69"/>
      <c r="EP43" s="69"/>
      <c r="EQ43" s="69"/>
      <c r="ER43" s="69"/>
      <c r="ES43" s="69"/>
      <c r="ET43" s="69"/>
      <c r="EU43" s="69"/>
      <c r="EV43" s="69"/>
      <c r="EW43" s="69"/>
      <c r="EX43" s="69"/>
      <c r="EY43" s="69"/>
      <c r="EZ43" s="69"/>
      <c r="FA43" s="69"/>
    </row>
    <row r="44" spans="1:247" x14ac:dyDescent="0.35">
      <c r="A44" s="65" t="str">
        <f t="shared" si="0"/>
        <v/>
      </c>
      <c r="B44" s="68" t="str">
        <f>Stoff!A44</f>
        <v>Antracen</v>
      </c>
      <c r="C44" s="67">
        <f t="shared" si="1"/>
        <v>0</v>
      </c>
      <c r="D44" s="55">
        <f t="shared" si="2"/>
        <v>0</v>
      </c>
      <c r="E44" s="55" t="e">
        <f t="shared" si="3"/>
        <v>#DIV/0!</v>
      </c>
      <c r="F44" s="66" t="e">
        <f t="shared" si="4"/>
        <v>#NUM!</v>
      </c>
      <c r="G44" s="56"/>
      <c r="H44" s="56"/>
      <c r="I44" s="56"/>
      <c r="J44" s="56"/>
      <c r="K44" s="56"/>
      <c r="L44" s="56"/>
      <c r="M44" s="56"/>
      <c r="N44" s="56"/>
      <c r="O44" s="56"/>
      <c r="P44" s="56"/>
      <c r="Q44" s="56"/>
      <c r="R44" s="56"/>
      <c r="S44" s="56"/>
      <c r="T44" s="56"/>
      <c r="U44" s="56"/>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69"/>
      <c r="EI44" s="69"/>
      <c r="EJ44" s="69"/>
      <c r="EK44" s="69"/>
      <c r="EL44" s="69"/>
      <c r="EM44" s="69"/>
      <c r="EN44" s="69"/>
      <c r="EO44" s="69"/>
      <c r="EP44" s="69"/>
      <c r="EQ44" s="69"/>
      <c r="ER44" s="69"/>
      <c r="ES44" s="69"/>
      <c r="ET44" s="69"/>
      <c r="EU44" s="69"/>
      <c r="EV44" s="69"/>
      <c r="EW44" s="69"/>
      <c r="EX44" s="69"/>
      <c r="EY44" s="69"/>
      <c r="EZ44" s="69"/>
      <c r="FA44" s="69"/>
    </row>
    <row r="45" spans="1:247" x14ac:dyDescent="0.35">
      <c r="A45" s="65" t="str">
        <f t="shared" si="0"/>
        <v/>
      </c>
      <c r="B45" s="68" t="str">
        <f>Stoff!A45</f>
        <v>Fluoren</v>
      </c>
      <c r="C45" s="67">
        <f t="shared" si="1"/>
        <v>0</v>
      </c>
      <c r="D45" s="55">
        <f t="shared" si="2"/>
        <v>0</v>
      </c>
      <c r="E45" s="55" t="e">
        <f t="shared" si="3"/>
        <v>#DIV/0!</v>
      </c>
      <c r="F45" s="66" t="e">
        <f t="shared" si="4"/>
        <v>#NUM!</v>
      </c>
      <c r="G45" s="56"/>
      <c r="H45" s="56"/>
      <c r="I45" s="56"/>
      <c r="J45" s="56"/>
      <c r="K45" s="56"/>
      <c r="L45" s="56"/>
      <c r="M45" s="56"/>
      <c r="N45" s="56"/>
      <c r="O45" s="56"/>
      <c r="P45" s="56"/>
      <c r="Q45" s="56"/>
      <c r="R45" s="56"/>
      <c r="S45" s="56"/>
      <c r="T45" s="56"/>
      <c r="U45" s="56"/>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69"/>
      <c r="EI45" s="69"/>
      <c r="EJ45" s="69"/>
      <c r="EK45" s="69"/>
      <c r="EL45" s="69"/>
      <c r="EM45" s="69"/>
      <c r="EN45" s="69"/>
      <c r="EO45" s="69"/>
      <c r="EP45" s="69"/>
      <c r="EQ45" s="69"/>
      <c r="ER45" s="69"/>
      <c r="ES45" s="69"/>
      <c r="ET45" s="69"/>
      <c r="EU45" s="69"/>
      <c r="EV45" s="69"/>
      <c r="EW45" s="69"/>
      <c r="EX45" s="69"/>
      <c r="EY45" s="69"/>
      <c r="EZ45" s="69"/>
      <c r="FA45" s="69"/>
    </row>
    <row r="46" spans="1:247" x14ac:dyDescent="0.35">
      <c r="A46" s="65" t="str">
        <f t="shared" si="0"/>
        <v/>
      </c>
      <c r="B46" s="68" t="str">
        <f>Stoff!A46</f>
        <v>Fluoranten</v>
      </c>
      <c r="C46" s="67">
        <f t="shared" si="1"/>
        <v>0</v>
      </c>
      <c r="D46" s="55">
        <f t="shared" si="2"/>
        <v>0</v>
      </c>
      <c r="E46" s="55" t="e">
        <f t="shared" si="3"/>
        <v>#DIV/0!</v>
      </c>
      <c r="F46" s="66" t="e">
        <f t="shared" si="4"/>
        <v>#NUM!</v>
      </c>
      <c r="G46" s="56"/>
      <c r="H46" s="56"/>
      <c r="I46" s="56"/>
      <c r="J46" s="56"/>
      <c r="K46" s="56"/>
      <c r="L46" s="56"/>
      <c r="M46" s="56"/>
      <c r="N46" s="56"/>
      <c r="O46" s="56"/>
      <c r="P46" s="56"/>
      <c r="Q46" s="56"/>
      <c r="R46" s="56"/>
      <c r="S46" s="56"/>
      <c r="T46" s="56"/>
      <c r="U46" s="56"/>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69"/>
      <c r="EI46" s="69"/>
      <c r="EJ46" s="69"/>
      <c r="EK46" s="69"/>
      <c r="EL46" s="69"/>
      <c r="EM46" s="69"/>
      <c r="EN46" s="69"/>
      <c r="EO46" s="69"/>
      <c r="EP46" s="69"/>
      <c r="EQ46" s="69"/>
      <c r="ER46" s="69"/>
      <c r="ES46" s="69"/>
      <c r="ET46" s="69"/>
      <c r="EU46" s="69"/>
      <c r="EV46" s="69"/>
      <c r="EW46" s="69"/>
      <c r="EX46" s="69"/>
      <c r="EY46" s="69"/>
      <c r="EZ46" s="69"/>
      <c r="FA46" s="69"/>
    </row>
    <row r="47" spans="1:247" x14ac:dyDescent="0.35">
      <c r="A47" s="65" t="str">
        <f t="shared" si="0"/>
        <v/>
      </c>
      <c r="B47" s="68" t="str">
        <f>Stoff!A47</f>
        <v>Pyrene</v>
      </c>
      <c r="C47" s="67">
        <f t="shared" si="1"/>
        <v>0</v>
      </c>
      <c r="D47" s="55">
        <f t="shared" si="2"/>
        <v>0</v>
      </c>
      <c r="E47" s="55" t="e">
        <f t="shared" si="3"/>
        <v>#DIV/0!</v>
      </c>
      <c r="F47" s="66" t="e">
        <f t="shared" si="4"/>
        <v>#NUM!</v>
      </c>
      <c r="G47" s="56"/>
      <c r="H47" s="56"/>
      <c r="I47" s="56"/>
      <c r="J47" s="56"/>
      <c r="K47" s="56"/>
      <c r="L47" s="56"/>
      <c r="M47" s="56"/>
      <c r="N47" s="56"/>
      <c r="O47" s="56"/>
      <c r="P47" s="56"/>
      <c r="Q47" s="56"/>
      <c r="R47" s="56"/>
      <c r="S47" s="56"/>
      <c r="T47" s="56"/>
      <c r="U47" s="56"/>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69"/>
      <c r="EI47" s="69"/>
      <c r="EJ47" s="69"/>
      <c r="EK47" s="69"/>
      <c r="EL47" s="69"/>
      <c r="EM47" s="69"/>
      <c r="EN47" s="69"/>
      <c r="EO47" s="69"/>
      <c r="EP47" s="69"/>
      <c r="EQ47" s="69"/>
      <c r="ER47" s="69"/>
      <c r="ES47" s="69"/>
      <c r="ET47" s="69"/>
      <c r="EU47" s="69"/>
      <c r="EV47" s="69"/>
      <c r="EW47" s="69"/>
      <c r="EX47" s="69"/>
      <c r="EY47" s="69"/>
      <c r="EZ47" s="69"/>
      <c r="FA47" s="69"/>
    </row>
    <row r="48" spans="1:247" x14ac:dyDescent="0.35">
      <c r="A48" s="65" t="str">
        <f t="shared" si="0"/>
        <v/>
      </c>
      <c r="B48" s="68" t="str">
        <f>Stoff!A48</f>
        <v>Benzo(a)antracen</v>
      </c>
      <c r="C48" s="67">
        <f t="shared" si="1"/>
        <v>0</v>
      </c>
      <c r="D48" s="55">
        <f t="shared" si="2"/>
        <v>0</v>
      </c>
      <c r="E48" s="55" t="e">
        <f t="shared" si="3"/>
        <v>#DIV/0!</v>
      </c>
      <c r="F48" s="66" t="e">
        <f t="shared" si="4"/>
        <v>#NUM!</v>
      </c>
      <c r="G48" s="56"/>
      <c r="H48" s="56"/>
      <c r="I48" s="56"/>
      <c r="J48" s="56"/>
      <c r="K48" s="56"/>
      <c r="L48" s="56"/>
      <c r="M48" s="56"/>
      <c r="N48" s="56"/>
      <c r="O48" s="56"/>
      <c r="P48" s="56"/>
      <c r="Q48" s="56"/>
      <c r="R48" s="56"/>
      <c r="S48" s="56"/>
      <c r="T48" s="56"/>
      <c r="U48" s="56"/>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69"/>
      <c r="EI48" s="69"/>
      <c r="EJ48" s="69"/>
      <c r="EK48" s="69"/>
      <c r="EL48" s="69"/>
      <c r="EM48" s="69"/>
      <c r="EN48" s="69"/>
      <c r="EO48" s="69"/>
      <c r="EP48" s="69"/>
      <c r="EQ48" s="69"/>
      <c r="ER48" s="69"/>
      <c r="ES48" s="69"/>
      <c r="ET48" s="69"/>
      <c r="EU48" s="69"/>
      <c r="EV48" s="69"/>
      <c r="EW48" s="69"/>
      <c r="EX48" s="69"/>
      <c r="EY48" s="69"/>
      <c r="EZ48" s="69"/>
      <c r="FA48" s="69"/>
    </row>
    <row r="49" spans="1:157" x14ac:dyDescent="0.35">
      <c r="A49" s="65" t="str">
        <f t="shared" si="0"/>
        <v/>
      </c>
      <c r="B49" s="68" t="str">
        <f>Stoff!A49</f>
        <v>Krysen</v>
      </c>
      <c r="C49" s="67">
        <f t="shared" si="1"/>
        <v>0</v>
      </c>
      <c r="D49" s="55">
        <f t="shared" si="2"/>
        <v>0</v>
      </c>
      <c r="E49" s="55" t="e">
        <f t="shared" si="3"/>
        <v>#DIV/0!</v>
      </c>
      <c r="F49" s="66" t="e">
        <f t="shared" si="4"/>
        <v>#NUM!</v>
      </c>
      <c r="G49" s="56"/>
      <c r="H49" s="56"/>
      <c r="I49" s="56"/>
      <c r="J49" s="56"/>
      <c r="K49" s="56"/>
      <c r="L49" s="56"/>
      <c r="M49" s="56"/>
      <c r="N49" s="56"/>
      <c r="O49" s="56"/>
      <c r="P49" s="56"/>
      <c r="Q49" s="56"/>
      <c r="R49" s="56"/>
      <c r="S49" s="56"/>
      <c r="T49" s="56"/>
      <c r="U49" s="56"/>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69"/>
      <c r="EI49" s="69"/>
      <c r="EJ49" s="69"/>
      <c r="EK49" s="69"/>
      <c r="EL49" s="69"/>
      <c r="EM49" s="69"/>
      <c r="EN49" s="69"/>
      <c r="EO49" s="69"/>
      <c r="EP49" s="69"/>
      <c r="EQ49" s="69"/>
      <c r="ER49" s="69"/>
      <c r="ES49" s="69"/>
      <c r="ET49" s="69"/>
      <c r="EU49" s="69"/>
      <c r="EV49" s="69"/>
      <c r="EW49" s="69"/>
      <c r="EX49" s="69"/>
      <c r="EY49" s="69"/>
      <c r="EZ49" s="69"/>
      <c r="FA49" s="69"/>
    </row>
    <row r="50" spans="1:157" x14ac:dyDescent="0.35">
      <c r="A50" s="65" t="str">
        <f t="shared" si="0"/>
        <v/>
      </c>
      <c r="B50" s="68" t="str">
        <f>Stoff!A50</f>
        <v>Benzo(b)fluoranten</v>
      </c>
      <c r="C50" s="67">
        <f t="shared" si="1"/>
        <v>0</v>
      </c>
      <c r="D50" s="55">
        <f t="shared" si="2"/>
        <v>0</v>
      </c>
      <c r="E50" s="55" t="e">
        <f t="shared" si="3"/>
        <v>#DIV/0!</v>
      </c>
      <c r="F50" s="66" t="e">
        <f t="shared" si="4"/>
        <v>#NUM!</v>
      </c>
      <c r="G50" s="56"/>
      <c r="H50" s="56"/>
      <c r="I50" s="56"/>
      <c r="J50" s="56"/>
      <c r="K50" s="56"/>
      <c r="L50" s="56"/>
      <c r="M50" s="56"/>
      <c r="N50" s="56"/>
      <c r="O50" s="56"/>
      <c r="P50" s="56"/>
      <c r="Q50" s="56"/>
      <c r="R50" s="56"/>
      <c r="S50" s="56"/>
      <c r="T50" s="56"/>
      <c r="U50" s="56"/>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69"/>
      <c r="EI50" s="69"/>
      <c r="EJ50" s="69"/>
      <c r="EK50" s="69"/>
      <c r="EL50" s="69"/>
      <c r="EM50" s="69"/>
      <c r="EN50" s="69"/>
      <c r="EO50" s="69"/>
      <c r="EP50" s="69"/>
      <c r="EQ50" s="69"/>
      <c r="ER50" s="69"/>
      <c r="ES50" s="69"/>
      <c r="ET50" s="69"/>
      <c r="EU50" s="69"/>
      <c r="EV50" s="69"/>
      <c r="EW50" s="69"/>
      <c r="EX50" s="69"/>
      <c r="EY50" s="69"/>
      <c r="EZ50" s="69"/>
      <c r="FA50" s="69"/>
    </row>
    <row r="51" spans="1:157" x14ac:dyDescent="0.35">
      <c r="A51" s="65" t="str">
        <f t="shared" si="0"/>
        <v/>
      </c>
      <c r="B51" s="68" t="str">
        <f>Stoff!A51</f>
        <v>Benzo(k)fluoranten</v>
      </c>
      <c r="C51" s="67">
        <f t="shared" si="1"/>
        <v>0</v>
      </c>
      <c r="D51" s="55">
        <f t="shared" si="2"/>
        <v>0</v>
      </c>
      <c r="E51" s="55" t="e">
        <f t="shared" si="3"/>
        <v>#DIV/0!</v>
      </c>
      <c r="F51" s="66" t="e">
        <f t="shared" si="4"/>
        <v>#NUM!</v>
      </c>
      <c r="G51" s="56"/>
      <c r="H51" s="56"/>
      <c r="I51" s="56"/>
      <c r="J51" s="56"/>
      <c r="K51" s="56"/>
      <c r="L51" s="56"/>
      <c r="M51" s="56"/>
      <c r="N51" s="56"/>
      <c r="O51" s="56"/>
      <c r="P51" s="56"/>
      <c r="Q51" s="56"/>
      <c r="R51" s="56"/>
      <c r="S51" s="56"/>
      <c r="T51" s="56"/>
      <c r="U51" s="56"/>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69"/>
      <c r="EI51" s="69"/>
      <c r="EJ51" s="69"/>
      <c r="EK51" s="69"/>
      <c r="EL51" s="69"/>
      <c r="EM51" s="69"/>
      <c r="EN51" s="69"/>
      <c r="EO51" s="69"/>
      <c r="EP51" s="69"/>
      <c r="EQ51" s="69"/>
      <c r="ER51" s="69"/>
      <c r="ES51" s="69"/>
      <c r="ET51" s="69"/>
      <c r="EU51" s="69"/>
      <c r="EV51" s="69"/>
      <c r="EW51" s="69"/>
      <c r="EX51" s="69"/>
      <c r="EY51" s="69"/>
      <c r="EZ51" s="69"/>
      <c r="FA51" s="69"/>
    </row>
    <row r="52" spans="1:157" x14ac:dyDescent="0.35">
      <c r="A52" s="65" t="str">
        <f t="shared" si="0"/>
        <v/>
      </c>
      <c r="B52" s="68" t="str">
        <f>Stoff!A52</f>
        <v>Benso(a)pyren</v>
      </c>
      <c r="C52" s="67">
        <f t="shared" si="1"/>
        <v>0</v>
      </c>
      <c r="D52" s="55">
        <f t="shared" si="2"/>
        <v>0</v>
      </c>
      <c r="E52" s="55" t="e">
        <f t="shared" si="3"/>
        <v>#DIV/0!</v>
      </c>
      <c r="F52" s="66" t="e">
        <f t="shared" si="4"/>
        <v>#NUM!</v>
      </c>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row>
    <row r="53" spans="1:157" x14ac:dyDescent="0.35">
      <c r="A53" s="65" t="str">
        <f t="shared" si="0"/>
        <v/>
      </c>
      <c r="B53" s="68" t="str">
        <f>Stoff!A53</f>
        <v>Indeno(1,2,3-cd)pyren</v>
      </c>
      <c r="C53" s="67">
        <f t="shared" si="1"/>
        <v>0</v>
      </c>
      <c r="D53" s="55">
        <f t="shared" si="2"/>
        <v>0</v>
      </c>
      <c r="E53" s="55" t="e">
        <f t="shared" si="3"/>
        <v>#DIV/0!</v>
      </c>
      <c r="F53" s="66" t="e">
        <f t="shared" si="4"/>
        <v>#NUM!</v>
      </c>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row>
    <row r="54" spans="1:157" x14ac:dyDescent="0.35">
      <c r="A54" s="65" t="str">
        <f t="shared" si="0"/>
        <v/>
      </c>
      <c r="B54" s="68" t="str">
        <f>Stoff!A54</f>
        <v>Dibenzo(a,h)antracen</v>
      </c>
      <c r="C54" s="67">
        <f t="shared" si="1"/>
        <v>0</v>
      </c>
      <c r="D54" s="55">
        <f t="shared" si="2"/>
        <v>0</v>
      </c>
      <c r="E54" s="55" t="e">
        <f t="shared" si="3"/>
        <v>#DIV/0!</v>
      </c>
      <c r="F54" s="66" t="e">
        <f t="shared" si="4"/>
        <v>#NUM!</v>
      </c>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row>
    <row r="55" spans="1:157" x14ac:dyDescent="0.35">
      <c r="A55" s="65" t="str">
        <f t="shared" si="0"/>
        <v/>
      </c>
      <c r="B55" s="68" t="str">
        <f>Stoff!A55</f>
        <v>Benzo(g,h,i)perylen</v>
      </c>
      <c r="C55" s="67">
        <f t="shared" si="1"/>
        <v>0</v>
      </c>
      <c r="D55" s="55">
        <f t="shared" si="2"/>
        <v>0</v>
      </c>
      <c r="E55" s="55" t="e">
        <f t="shared" si="3"/>
        <v>#DIV/0!</v>
      </c>
      <c r="F55" s="66" t="e">
        <f t="shared" si="4"/>
        <v>#NUM!</v>
      </c>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row>
    <row r="56" spans="1:157" x14ac:dyDescent="0.35">
      <c r="A56" s="65" t="str">
        <f t="shared" si="0"/>
        <v/>
      </c>
      <c r="B56" s="68" t="str">
        <f>Stoff!A56</f>
        <v>Bensen</v>
      </c>
      <c r="C56" s="67">
        <f t="shared" si="1"/>
        <v>0</v>
      </c>
      <c r="D56" s="55">
        <f t="shared" si="2"/>
        <v>0</v>
      </c>
      <c r="E56" s="55" t="e">
        <f t="shared" si="3"/>
        <v>#DIV/0!</v>
      </c>
      <c r="F56" s="66" t="e">
        <f t="shared" si="4"/>
        <v>#NUM!</v>
      </c>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row>
    <row r="57" spans="1:157" x14ac:dyDescent="0.35">
      <c r="A57" s="65" t="str">
        <f t="shared" si="0"/>
        <v/>
      </c>
      <c r="B57" s="68" t="str">
        <f>Stoff!A57</f>
        <v>Toluen</v>
      </c>
      <c r="C57" s="67">
        <f t="shared" si="1"/>
        <v>0</v>
      </c>
      <c r="D57" s="55">
        <f t="shared" si="2"/>
        <v>0</v>
      </c>
      <c r="E57" s="55" t="e">
        <f t="shared" si="3"/>
        <v>#DIV/0!</v>
      </c>
      <c r="F57" s="66" t="e">
        <f t="shared" si="4"/>
        <v>#NUM!</v>
      </c>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row>
    <row r="58" spans="1:157" x14ac:dyDescent="0.35">
      <c r="A58" s="65" t="str">
        <f t="shared" si="0"/>
        <v/>
      </c>
      <c r="B58" s="68" t="str">
        <f>Stoff!A58</f>
        <v>Etylbensen</v>
      </c>
      <c r="C58" s="67">
        <f t="shared" si="1"/>
        <v>0</v>
      </c>
      <c r="D58" s="55">
        <f t="shared" si="2"/>
        <v>0</v>
      </c>
      <c r="E58" s="55" t="e">
        <f t="shared" si="3"/>
        <v>#DIV/0!</v>
      </c>
      <c r="F58" s="66" t="e">
        <f t="shared" si="4"/>
        <v>#NUM!</v>
      </c>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row>
    <row r="59" spans="1:157" x14ac:dyDescent="0.35">
      <c r="A59" s="65" t="str">
        <f t="shared" si="0"/>
        <v/>
      </c>
      <c r="B59" s="68" t="str">
        <f>Stoff!A59</f>
        <v>Xylen</v>
      </c>
      <c r="C59" s="67">
        <f t="shared" si="1"/>
        <v>0</v>
      </c>
      <c r="D59" s="55">
        <f t="shared" si="2"/>
        <v>0</v>
      </c>
      <c r="E59" s="55" t="e">
        <f t="shared" si="3"/>
        <v>#DIV/0!</v>
      </c>
      <c r="F59" s="66" t="e">
        <f t="shared" si="4"/>
        <v>#NUM!</v>
      </c>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row>
    <row r="60" spans="1:157" x14ac:dyDescent="0.35">
      <c r="A60" s="65" t="str">
        <f t="shared" si="0"/>
        <v/>
      </c>
      <c r="B60" s="68" t="str">
        <f>Stoff!A60</f>
        <v>Alifater  C5-C6</v>
      </c>
      <c r="C60" s="67">
        <f t="shared" si="1"/>
        <v>0</v>
      </c>
      <c r="D60" s="55">
        <f t="shared" si="2"/>
        <v>0</v>
      </c>
      <c r="E60" s="55" t="e">
        <f t="shared" si="3"/>
        <v>#DIV/0!</v>
      </c>
      <c r="F60" s="66" t="e">
        <f t="shared" si="4"/>
        <v>#NUM!</v>
      </c>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row>
    <row r="61" spans="1:157" x14ac:dyDescent="0.35">
      <c r="A61" s="65" t="str">
        <f t="shared" si="0"/>
        <v/>
      </c>
      <c r="B61" s="68" t="str">
        <f>Stoff!A61</f>
        <v>Alifater &gt; C6-C8</v>
      </c>
      <c r="C61" s="67">
        <f t="shared" si="1"/>
        <v>0</v>
      </c>
      <c r="D61" s="55">
        <f t="shared" si="2"/>
        <v>0</v>
      </c>
      <c r="E61" s="55" t="e">
        <f t="shared" si="3"/>
        <v>#DIV/0!</v>
      </c>
      <c r="F61" s="66" t="e">
        <f t="shared" si="4"/>
        <v>#NUM!</v>
      </c>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row>
    <row r="62" spans="1:157" x14ac:dyDescent="0.35">
      <c r="A62" s="65" t="str">
        <f t="shared" si="0"/>
        <v/>
      </c>
      <c r="B62" s="68" t="str">
        <f>Stoff!A62</f>
        <v>Alifater &gt; C8-C10</v>
      </c>
      <c r="C62" s="67">
        <f t="shared" si="1"/>
        <v>0</v>
      </c>
      <c r="D62" s="55">
        <f t="shared" si="2"/>
        <v>0</v>
      </c>
      <c r="E62" s="55" t="e">
        <f t="shared" si="3"/>
        <v>#DIV/0!</v>
      </c>
      <c r="F62" s="66" t="e">
        <f t="shared" si="4"/>
        <v>#NUM!</v>
      </c>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row>
    <row r="63" spans="1:157" x14ac:dyDescent="0.35">
      <c r="A63" s="65" t="str">
        <f t="shared" si="0"/>
        <v/>
      </c>
      <c r="B63" s="68" t="str">
        <f>Stoff!A63</f>
        <v>Sum alifater &gt; C5-C10</v>
      </c>
      <c r="C63" s="67">
        <f t="shared" si="1"/>
        <v>0</v>
      </c>
      <c r="D63" s="55">
        <f t="shared" si="2"/>
        <v>0</v>
      </c>
      <c r="E63" s="55" t="e">
        <f t="shared" si="3"/>
        <v>#DIV/0!</v>
      </c>
      <c r="F63" s="66" t="e">
        <f t="shared" si="4"/>
        <v>#NUM!</v>
      </c>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c r="EO63" s="56"/>
      <c r="EP63" s="56"/>
      <c r="EQ63" s="56"/>
      <c r="ER63" s="56"/>
      <c r="ES63" s="56"/>
      <c r="ET63" s="56"/>
      <c r="EU63" s="56"/>
      <c r="EV63" s="56"/>
      <c r="EW63" s="56"/>
      <c r="EX63" s="56"/>
      <c r="EY63" s="56"/>
      <c r="EZ63" s="56"/>
      <c r="FA63" s="56"/>
    </row>
    <row r="64" spans="1:157" x14ac:dyDescent="0.35">
      <c r="A64" s="65" t="str">
        <f t="shared" si="0"/>
        <v/>
      </c>
      <c r="B64" s="68" t="str">
        <f>Stoff!A64</f>
        <v>Alifater &gt;C10-C12</v>
      </c>
      <c r="C64" s="67">
        <f t="shared" si="1"/>
        <v>0</v>
      </c>
      <c r="D64" s="55">
        <f t="shared" si="2"/>
        <v>0</v>
      </c>
      <c r="E64" s="55" t="e">
        <f t="shared" si="3"/>
        <v>#DIV/0!</v>
      </c>
      <c r="F64" s="66" t="e">
        <f t="shared" si="4"/>
        <v>#NUM!</v>
      </c>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c r="ER64" s="56"/>
      <c r="ES64" s="56"/>
      <c r="ET64" s="56"/>
      <c r="EU64" s="56"/>
      <c r="EV64" s="56"/>
      <c r="EW64" s="56"/>
      <c r="EX64" s="56"/>
      <c r="EY64" s="56"/>
      <c r="EZ64" s="56"/>
      <c r="FA64" s="56"/>
    </row>
    <row r="65" spans="1:157" x14ac:dyDescent="0.35">
      <c r="A65" s="65" t="str">
        <f t="shared" si="0"/>
        <v/>
      </c>
      <c r="B65" s="68" t="str">
        <f>Stoff!A65</f>
        <v>Alifater &gt;C12-C35</v>
      </c>
      <c r="C65" s="67">
        <f t="shared" si="1"/>
        <v>0</v>
      </c>
      <c r="D65" s="55">
        <f t="shared" si="2"/>
        <v>0</v>
      </c>
      <c r="E65" s="55" t="e">
        <f t="shared" si="3"/>
        <v>#DIV/0!</v>
      </c>
      <c r="F65" s="66" t="e">
        <f t="shared" si="4"/>
        <v>#NUM!</v>
      </c>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c r="EO65" s="56"/>
      <c r="EP65" s="56"/>
      <c r="EQ65" s="56"/>
      <c r="ER65" s="56"/>
      <c r="ES65" s="56"/>
      <c r="ET65" s="56"/>
      <c r="EU65" s="56"/>
      <c r="EV65" s="56"/>
      <c r="EW65" s="56"/>
      <c r="EX65" s="56"/>
      <c r="EY65" s="56"/>
      <c r="EZ65" s="56"/>
      <c r="FA65" s="56"/>
    </row>
    <row r="66" spans="1:157" x14ac:dyDescent="0.35">
      <c r="A66" s="65" t="str">
        <f t="shared" si="0"/>
        <v/>
      </c>
      <c r="B66" s="68" t="str">
        <f>Stoff!A66</f>
        <v>MTBE</v>
      </c>
      <c r="C66" s="67">
        <f t="shared" si="1"/>
        <v>0</v>
      </c>
      <c r="D66" s="55">
        <f t="shared" si="2"/>
        <v>0</v>
      </c>
      <c r="E66" s="55" t="e">
        <f t="shared" si="3"/>
        <v>#DIV/0!</v>
      </c>
      <c r="F66" s="66" t="e">
        <f t="shared" si="4"/>
        <v>#NUM!</v>
      </c>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row>
    <row r="67" spans="1:157" x14ac:dyDescent="0.35">
      <c r="A67" s="65" t="str">
        <f t="shared" si="0"/>
        <v/>
      </c>
      <c r="B67" s="68" t="str">
        <f>Stoff!A67</f>
        <v>Tetraetylbly</v>
      </c>
      <c r="C67" s="67">
        <f t="shared" si="1"/>
        <v>0</v>
      </c>
      <c r="D67" s="55">
        <f t="shared" si="2"/>
        <v>0</v>
      </c>
      <c r="E67" s="55" t="e">
        <f t="shared" si="3"/>
        <v>#DIV/0!</v>
      </c>
      <c r="F67" s="66" t="e">
        <f t="shared" si="4"/>
        <v>#NUM!</v>
      </c>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row>
    <row r="68" spans="1:157" x14ac:dyDescent="0.35">
      <c r="A68" s="65" t="str">
        <f t="shared" ref="A68:A86" si="5">IF(C68&gt;0,"x","")</f>
        <v/>
      </c>
      <c r="B68" s="68" t="str">
        <f>Stoff!A68</f>
        <v>PBDE-99</v>
      </c>
      <c r="C68" s="67">
        <f t="shared" ref="C68:C86" si="6">COUNT(G68:IV68)</f>
        <v>0</v>
      </c>
      <c r="D68" s="55">
        <f t="shared" ref="D68:D86" si="7">MAXA(G68:IV68)</f>
        <v>0</v>
      </c>
      <c r="E68" s="55" t="e">
        <f t="shared" ref="E68:E86" si="8">AVERAGE(G68:IV68)</f>
        <v>#DIV/0!</v>
      </c>
      <c r="F68" s="66" t="e">
        <f t="shared" ref="F68:F86" si="9">D68/MEDIAN(G68:IV68)</f>
        <v>#NUM!</v>
      </c>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row>
    <row r="69" spans="1:157" x14ac:dyDescent="0.35">
      <c r="A69" s="65" t="str">
        <f t="shared" si="5"/>
        <v/>
      </c>
      <c r="B69" s="68" t="str">
        <f>Stoff!A69</f>
        <v>PBDE-154</v>
      </c>
      <c r="C69" s="67">
        <f t="shared" si="6"/>
        <v>0</v>
      </c>
      <c r="D69" s="55">
        <f t="shared" si="7"/>
        <v>0</v>
      </c>
      <c r="E69" s="55" t="e">
        <f t="shared" si="8"/>
        <v>#DIV/0!</v>
      </c>
      <c r="F69" s="66" t="e">
        <f t="shared" si="9"/>
        <v>#NUM!</v>
      </c>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row>
    <row r="70" spans="1:157" x14ac:dyDescent="0.35">
      <c r="A70" s="65" t="str">
        <f t="shared" si="5"/>
        <v/>
      </c>
      <c r="B70" s="68" t="str">
        <f>Stoff!A70</f>
        <v>PBDE-209</v>
      </c>
      <c r="C70" s="67">
        <f t="shared" si="6"/>
        <v>0</v>
      </c>
      <c r="D70" s="55">
        <f t="shared" si="7"/>
        <v>0</v>
      </c>
      <c r="E70" s="55" t="e">
        <f t="shared" si="8"/>
        <v>#DIV/0!</v>
      </c>
      <c r="F70" s="66" t="e">
        <f t="shared" si="9"/>
        <v>#NUM!</v>
      </c>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row>
    <row r="71" spans="1:157" x14ac:dyDescent="0.35">
      <c r="A71" s="65" t="str">
        <f t="shared" si="5"/>
        <v/>
      </c>
      <c r="B71" s="68" t="str">
        <f>Stoff!A71</f>
        <v>HBCDD</v>
      </c>
      <c r="C71" s="67">
        <f t="shared" si="6"/>
        <v>0</v>
      </c>
      <c r="D71" s="55">
        <f t="shared" si="7"/>
        <v>0</v>
      </c>
      <c r="E71" s="55" t="e">
        <f t="shared" si="8"/>
        <v>#DIV/0!</v>
      </c>
      <c r="F71" s="66" t="e">
        <f t="shared" si="9"/>
        <v>#NUM!</v>
      </c>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row>
    <row r="72" spans="1:157" x14ac:dyDescent="0.35">
      <c r="A72" s="65" t="str">
        <f t="shared" si="5"/>
        <v/>
      </c>
      <c r="B72" s="68" t="str">
        <f>Stoff!A72</f>
        <v>Tetrabrombisfenol A</v>
      </c>
      <c r="C72" s="67">
        <f t="shared" si="6"/>
        <v>0</v>
      </c>
      <c r="D72" s="55">
        <f t="shared" si="7"/>
        <v>0</v>
      </c>
      <c r="E72" s="55" t="e">
        <f t="shared" si="8"/>
        <v>#DIV/0!</v>
      </c>
      <c r="F72" s="66" t="e">
        <f t="shared" si="9"/>
        <v>#NUM!</v>
      </c>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row>
    <row r="73" spans="1:157" x14ac:dyDescent="0.35">
      <c r="A73" s="65" t="str">
        <f t="shared" si="5"/>
        <v/>
      </c>
      <c r="B73" s="68" t="str">
        <f>Stoff!A73</f>
        <v>Bisfenol A</v>
      </c>
      <c r="C73" s="67">
        <f t="shared" si="6"/>
        <v>0</v>
      </c>
      <c r="D73" s="55">
        <f t="shared" si="7"/>
        <v>0</v>
      </c>
      <c r="E73" s="55" t="e">
        <f t="shared" si="8"/>
        <v>#DIV/0!</v>
      </c>
      <c r="F73" s="66" t="e">
        <f t="shared" si="9"/>
        <v>#NUM!</v>
      </c>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row>
    <row r="74" spans="1:157" x14ac:dyDescent="0.35">
      <c r="A74" s="65" t="str">
        <f t="shared" si="5"/>
        <v/>
      </c>
      <c r="B74" s="68" t="str">
        <f>Stoff!A74</f>
        <v>PFOS</v>
      </c>
      <c r="C74" s="67">
        <f t="shared" si="6"/>
        <v>0</v>
      </c>
      <c r="D74" s="55">
        <f t="shared" si="7"/>
        <v>0</v>
      </c>
      <c r="E74" s="55" t="e">
        <f t="shared" si="8"/>
        <v>#DIV/0!</v>
      </c>
      <c r="F74" s="66" t="e">
        <f t="shared" si="9"/>
        <v>#NUM!</v>
      </c>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56"/>
      <c r="FA74" s="56"/>
    </row>
    <row r="75" spans="1:157" x14ac:dyDescent="0.35">
      <c r="A75" s="65" t="str">
        <f t="shared" si="5"/>
        <v/>
      </c>
      <c r="B75" s="68" t="str">
        <f>Stoff!A75</f>
        <v>Nonylfenol</v>
      </c>
      <c r="C75" s="67">
        <f t="shared" si="6"/>
        <v>0</v>
      </c>
      <c r="D75" s="55">
        <f t="shared" si="7"/>
        <v>0</v>
      </c>
      <c r="E75" s="55" t="e">
        <f t="shared" si="8"/>
        <v>#DIV/0!</v>
      </c>
      <c r="F75" s="66" t="e">
        <f t="shared" si="9"/>
        <v>#NUM!</v>
      </c>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c r="ET75" s="56"/>
      <c r="EU75" s="56"/>
      <c r="EV75" s="56"/>
      <c r="EW75" s="56"/>
      <c r="EX75" s="56"/>
      <c r="EY75" s="56"/>
      <c r="EZ75" s="56"/>
      <c r="FA75" s="56"/>
    </row>
    <row r="76" spans="1:157" x14ac:dyDescent="0.35">
      <c r="A76" s="65" t="str">
        <f t="shared" si="5"/>
        <v/>
      </c>
      <c r="B76" s="68" t="str">
        <f>Stoff!A76</f>
        <v>Nonylfenoletoksilat</v>
      </c>
      <c r="C76" s="67">
        <f t="shared" si="6"/>
        <v>0</v>
      </c>
      <c r="D76" s="55">
        <f t="shared" si="7"/>
        <v>0</v>
      </c>
      <c r="E76" s="55" t="e">
        <f t="shared" si="8"/>
        <v>#DIV/0!</v>
      </c>
      <c r="F76" s="66" t="e">
        <f t="shared" si="9"/>
        <v>#NUM!</v>
      </c>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row>
    <row r="77" spans="1:157" x14ac:dyDescent="0.35">
      <c r="A77" s="65" t="str">
        <f t="shared" si="5"/>
        <v/>
      </c>
      <c r="B77" s="68" t="str">
        <f>Stoff!A77</f>
        <v>Oktylfenol</v>
      </c>
      <c r="C77" s="67">
        <f t="shared" si="6"/>
        <v>0</v>
      </c>
      <c r="D77" s="55">
        <f t="shared" si="7"/>
        <v>0</v>
      </c>
      <c r="E77" s="55" t="e">
        <f t="shared" si="8"/>
        <v>#DIV/0!</v>
      </c>
      <c r="F77" s="66" t="e">
        <f t="shared" si="9"/>
        <v>#NUM!</v>
      </c>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row>
    <row r="78" spans="1:157" x14ac:dyDescent="0.35">
      <c r="A78" s="65" t="str">
        <f t="shared" si="5"/>
        <v/>
      </c>
      <c r="B78" s="68" t="str">
        <f>Stoff!A78</f>
        <v>Oktylfenoletoksilat</v>
      </c>
      <c r="C78" s="67">
        <f t="shared" si="6"/>
        <v>0</v>
      </c>
      <c r="D78" s="55">
        <f t="shared" si="7"/>
        <v>0</v>
      </c>
      <c r="E78" s="55" t="e">
        <f t="shared" si="8"/>
        <v>#DIV/0!</v>
      </c>
      <c r="F78" s="66" t="e">
        <f t="shared" si="9"/>
        <v>#NUM!</v>
      </c>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row>
    <row r="79" spans="1:157" x14ac:dyDescent="0.35">
      <c r="A79" s="65" t="str">
        <f t="shared" si="5"/>
        <v/>
      </c>
      <c r="B79" s="68" t="str">
        <f>Stoff!A79</f>
        <v>TBT-oksid</v>
      </c>
      <c r="C79" s="67">
        <f t="shared" si="6"/>
        <v>0</v>
      </c>
      <c r="D79" s="55">
        <f t="shared" si="7"/>
        <v>0</v>
      </c>
      <c r="E79" s="55" t="e">
        <f t="shared" si="8"/>
        <v>#DIV/0!</v>
      </c>
      <c r="F79" s="66" t="e">
        <f t="shared" si="9"/>
        <v>#NUM!</v>
      </c>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row>
    <row r="80" spans="1:157" x14ac:dyDescent="0.35">
      <c r="A80" s="65" t="str">
        <f t="shared" si="5"/>
        <v/>
      </c>
      <c r="B80" s="68" t="str">
        <f>Stoff!A80</f>
        <v>Trifenyltinnklorid</v>
      </c>
      <c r="C80" s="67">
        <f t="shared" si="6"/>
        <v>0</v>
      </c>
      <c r="D80" s="55">
        <f t="shared" si="7"/>
        <v>0</v>
      </c>
      <c r="E80" s="55" t="e">
        <f t="shared" si="8"/>
        <v>#DIV/0!</v>
      </c>
      <c r="F80" s="66" t="e">
        <f t="shared" si="9"/>
        <v>#NUM!</v>
      </c>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row>
    <row r="81" spans="1:157" x14ac:dyDescent="0.35">
      <c r="A81" s="65" t="str">
        <f t="shared" si="5"/>
        <v/>
      </c>
      <c r="B81" s="68" t="str">
        <f>Stoff!A81</f>
        <v>Di(2-etylheksyl)ftalat</v>
      </c>
      <c r="C81" s="67">
        <f t="shared" si="6"/>
        <v>0</v>
      </c>
      <c r="D81" s="55">
        <f t="shared" si="7"/>
        <v>0</v>
      </c>
      <c r="E81" s="55" t="e">
        <f t="shared" si="8"/>
        <v>#DIV/0!</v>
      </c>
      <c r="F81" s="66" t="e">
        <f t="shared" si="9"/>
        <v>#NUM!</v>
      </c>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row>
    <row r="82" spans="1:157" x14ac:dyDescent="0.35">
      <c r="A82" s="65" t="str">
        <f t="shared" si="5"/>
        <v/>
      </c>
      <c r="B82" s="68" t="str">
        <f>Stoff!A82</f>
        <v>Mellomkjedete kl. paraf.</v>
      </c>
      <c r="C82" s="67">
        <f t="shared" si="6"/>
        <v>0</v>
      </c>
      <c r="D82" s="55">
        <f t="shared" si="7"/>
        <v>0</v>
      </c>
      <c r="E82" s="55" t="e">
        <f t="shared" si="8"/>
        <v>#DIV/0!</v>
      </c>
      <c r="F82" s="66" t="e">
        <f t="shared" si="9"/>
        <v>#NUM!</v>
      </c>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row>
    <row r="83" spans="1:157" x14ac:dyDescent="0.35">
      <c r="A83" s="65" t="str">
        <f t="shared" si="5"/>
        <v/>
      </c>
      <c r="B83" s="68" t="str">
        <f>Stoff!A83</f>
        <v>Kortkjedete kl. paraf.</v>
      </c>
      <c r="C83" s="67">
        <f t="shared" si="6"/>
        <v>0</v>
      </c>
      <c r="D83" s="55">
        <f t="shared" si="7"/>
        <v>0</v>
      </c>
      <c r="E83" s="55" t="e">
        <f t="shared" si="8"/>
        <v>#DIV/0!</v>
      </c>
      <c r="F83" s="66" t="e">
        <f t="shared" si="9"/>
        <v>#NUM!</v>
      </c>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row>
    <row r="84" spans="1:157" x14ac:dyDescent="0.35">
      <c r="A84" s="65" t="str">
        <f t="shared" si="5"/>
        <v/>
      </c>
      <c r="B84" s="68" t="str">
        <f>Stoff!A84</f>
        <v>Polyklorerte naftalener</v>
      </c>
      <c r="C84" s="67">
        <f t="shared" si="6"/>
        <v>0</v>
      </c>
      <c r="D84" s="55">
        <f t="shared" si="7"/>
        <v>0</v>
      </c>
      <c r="E84" s="55" t="e">
        <f t="shared" si="8"/>
        <v>#DIV/0!</v>
      </c>
      <c r="F84" s="66" t="e">
        <f t="shared" si="9"/>
        <v>#NUM!</v>
      </c>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row>
    <row r="85" spans="1:157" x14ac:dyDescent="0.35">
      <c r="A85" s="65" t="str">
        <f t="shared" si="5"/>
        <v/>
      </c>
      <c r="B85" s="68" t="str">
        <f>Stoff!A85</f>
        <v>Trikresylfosfat</v>
      </c>
      <c r="C85" s="67">
        <f t="shared" si="6"/>
        <v>0</v>
      </c>
      <c r="D85" s="55">
        <f t="shared" si="7"/>
        <v>0</v>
      </c>
      <c r="E85" s="55" t="e">
        <f t="shared" si="8"/>
        <v>#DIV/0!</v>
      </c>
      <c r="F85" s="66" t="e">
        <f t="shared" si="9"/>
        <v>#NUM!</v>
      </c>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row>
    <row r="86" spans="1:157" x14ac:dyDescent="0.35">
      <c r="A86" s="65" t="str">
        <f t="shared" si="5"/>
        <v/>
      </c>
      <c r="B86" s="68" t="str">
        <f>Stoff!A86</f>
        <v>Dioksin (TCDD-ekv.)</v>
      </c>
      <c r="C86" s="67">
        <f t="shared" si="6"/>
        <v>0</v>
      </c>
      <c r="D86" s="55">
        <f t="shared" si="7"/>
        <v>0</v>
      </c>
      <c r="E86" s="55" t="e">
        <f t="shared" si="8"/>
        <v>#DIV/0!</v>
      </c>
      <c r="F86" s="66" t="e">
        <f t="shared" si="9"/>
        <v>#NUM!</v>
      </c>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c r="ED86" s="56"/>
      <c r="EE86" s="56"/>
      <c r="EF86" s="56"/>
      <c r="EG86" s="56"/>
      <c r="EH86" s="56"/>
      <c r="EI86" s="56"/>
      <c r="EJ86" s="56"/>
      <c r="EK86" s="56"/>
      <c r="EL86" s="56"/>
      <c r="EM86" s="56"/>
      <c r="EN86" s="56"/>
      <c r="EO86" s="56"/>
      <c r="EP86" s="56"/>
      <c r="EQ86" s="56"/>
      <c r="ER86" s="56"/>
      <c r="ES86" s="56"/>
      <c r="ET86" s="56"/>
      <c r="EU86" s="56"/>
      <c r="EV86" s="56"/>
      <c r="EW86" s="56"/>
      <c r="EX86" s="56"/>
      <c r="EY86" s="56"/>
      <c r="EZ86" s="56"/>
      <c r="FA86" s="56"/>
    </row>
    <row r="87" spans="1:157" x14ac:dyDescent="0.35">
      <c r="A87" s="65" t="str">
        <f t="shared" ref="A87:A114" si="10">IF(C87&gt;0,"x","")</f>
        <v/>
      </c>
      <c r="B87" s="68" t="str">
        <f>Stoff!A87</f>
        <v>nystoff 1</v>
      </c>
      <c r="C87" s="67">
        <f t="shared" ref="C87:C114" si="11">COUNT(G87:IV87)</f>
        <v>0</v>
      </c>
      <c r="D87" s="55">
        <f t="shared" ref="D87:D114" si="12">MAXA(G87:IV87)</f>
        <v>0</v>
      </c>
      <c r="E87" s="55" t="e">
        <f t="shared" ref="E87:E114" si="13">AVERAGE(G87:IV87)</f>
        <v>#DIV/0!</v>
      </c>
      <c r="F87" s="66" t="e">
        <f t="shared" ref="F87:F114" si="14">D87/MEDIAN(G87:IV87)</f>
        <v>#NUM!</v>
      </c>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c r="ES87" s="56"/>
      <c r="ET87" s="56"/>
      <c r="EU87" s="56"/>
      <c r="EV87" s="56"/>
      <c r="EW87" s="56"/>
      <c r="EX87" s="56"/>
      <c r="EY87" s="56"/>
      <c r="EZ87" s="56"/>
      <c r="FA87" s="56"/>
    </row>
    <row r="88" spans="1:157" x14ac:dyDescent="0.35">
      <c r="A88" s="65" t="str">
        <f t="shared" si="10"/>
        <v/>
      </c>
      <c r="B88" s="68" t="str">
        <f>Stoff!A88</f>
        <v>nystoff 2</v>
      </c>
      <c r="C88" s="67">
        <f t="shared" si="11"/>
        <v>0</v>
      </c>
      <c r="D88" s="55">
        <f t="shared" si="12"/>
        <v>0</v>
      </c>
      <c r="E88" s="55" t="e">
        <f t="shared" si="13"/>
        <v>#DIV/0!</v>
      </c>
      <c r="F88" s="66" t="e">
        <f t="shared" si="14"/>
        <v>#NUM!</v>
      </c>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row>
    <row r="89" spans="1:157" x14ac:dyDescent="0.35">
      <c r="A89" s="65" t="str">
        <f t="shared" si="10"/>
        <v/>
      </c>
      <c r="B89" s="68" t="str">
        <f>Stoff!A89</f>
        <v>nystoff 3</v>
      </c>
      <c r="C89" s="67">
        <f t="shared" si="11"/>
        <v>0</v>
      </c>
      <c r="D89" s="55">
        <f t="shared" si="12"/>
        <v>0</v>
      </c>
      <c r="E89" s="55" t="e">
        <f t="shared" si="13"/>
        <v>#DIV/0!</v>
      </c>
      <c r="F89" s="66" t="e">
        <f t="shared" si="14"/>
        <v>#NUM!</v>
      </c>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c r="ED89" s="56"/>
      <c r="EE89" s="56"/>
      <c r="EF89" s="56"/>
      <c r="EG89" s="56"/>
      <c r="EH89" s="56"/>
      <c r="EI89" s="56"/>
      <c r="EJ89" s="56"/>
      <c r="EK89" s="56"/>
      <c r="EL89" s="56"/>
      <c r="EM89" s="56"/>
      <c r="EN89" s="56"/>
      <c r="EO89" s="56"/>
      <c r="EP89" s="56"/>
      <c r="EQ89" s="56"/>
      <c r="ER89" s="56"/>
      <c r="ES89" s="56"/>
      <c r="ET89" s="56"/>
      <c r="EU89" s="56"/>
      <c r="EV89" s="56"/>
      <c r="EW89" s="56"/>
      <c r="EX89" s="56"/>
      <c r="EY89" s="56"/>
      <c r="EZ89" s="56"/>
      <c r="FA89" s="56"/>
    </row>
    <row r="90" spans="1:157" x14ac:dyDescent="0.35">
      <c r="A90" s="65" t="str">
        <f t="shared" si="10"/>
        <v/>
      </c>
      <c r="B90" s="68" t="str">
        <f>Stoff!A90</f>
        <v>nystoff 4</v>
      </c>
      <c r="C90" s="67">
        <f t="shared" si="11"/>
        <v>0</v>
      </c>
      <c r="D90" s="55">
        <f t="shared" si="12"/>
        <v>0</v>
      </c>
      <c r="E90" s="55" t="e">
        <f t="shared" si="13"/>
        <v>#DIV/0!</v>
      </c>
      <c r="F90" s="66" t="e">
        <f t="shared" si="14"/>
        <v>#NUM!</v>
      </c>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c r="EJ90" s="56"/>
      <c r="EK90" s="56"/>
      <c r="EL90" s="56"/>
      <c r="EM90" s="56"/>
      <c r="EN90" s="56"/>
      <c r="EO90" s="56"/>
      <c r="EP90" s="56"/>
      <c r="EQ90" s="56"/>
      <c r="ER90" s="56"/>
      <c r="ES90" s="56"/>
      <c r="ET90" s="56"/>
      <c r="EU90" s="56"/>
      <c r="EV90" s="56"/>
      <c r="EW90" s="56"/>
      <c r="EX90" s="56"/>
      <c r="EY90" s="56"/>
      <c r="EZ90" s="56"/>
      <c r="FA90" s="56"/>
    </row>
    <row r="91" spans="1:157" x14ac:dyDescent="0.35">
      <c r="A91" s="65" t="str">
        <f t="shared" si="10"/>
        <v/>
      </c>
      <c r="B91" s="68" t="str">
        <f>Stoff!A91</f>
        <v>nystoff 5</v>
      </c>
      <c r="C91" s="67">
        <f t="shared" si="11"/>
        <v>0</v>
      </c>
      <c r="D91" s="55">
        <f t="shared" si="12"/>
        <v>0</v>
      </c>
      <c r="E91" s="55" t="e">
        <f t="shared" si="13"/>
        <v>#DIV/0!</v>
      </c>
      <c r="F91" s="66" t="e">
        <f t="shared" si="14"/>
        <v>#NUM!</v>
      </c>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c r="EN91" s="56"/>
      <c r="EO91" s="56"/>
      <c r="EP91" s="56"/>
      <c r="EQ91" s="56"/>
      <c r="ER91" s="56"/>
      <c r="ES91" s="56"/>
      <c r="ET91" s="56"/>
      <c r="EU91" s="56"/>
      <c r="EV91" s="56"/>
      <c r="EW91" s="56"/>
      <c r="EX91" s="56"/>
      <c r="EY91" s="56"/>
      <c r="EZ91" s="56"/>
      <c r="FA91" s="56"/>
    </row>
    <row r="92" spans="1:157" x14ac:dyDescent="0.35">
      <c r="A92" s="65" t="str">
        <f t="shared" si="10"/>
        <v/>
      </c>
      <c r="B92" s="68" t="str">
        <f>Stoff!A92</f>
        <v>nystoff 6</v>
      </c>
      <c r="C92" s="67">
        <f t="shared" si="11"/>
        <v>0</v>
      </c>
      <c r="D92" s="55">
        <f t="shared" si="12"/>
        <v>0</v>
      </c>
      <c r="E92" s="55" t="e">
        <f t="shared" si="13"/>
        <v>#DIV/0!</v>
      </c>
      <c r="F92" s="66" t="e">
        <f t="shared" si="14"/>
        <v>#NUM!</v>
      </c>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6"/>
      <c r="DY92" s="56"/>
      <c r="DZ92" s="56"/>
      <c r="EA92" s="56"/>
      <c r="EB92" s="56"/>
      <c r="EC92" s="56"/>
      <c r="ED92" s="56"/>
      <c r="EE92" s="56"/>
      <c r="EF92" s="56"/>
      <c r="EG92" s="56"/>
      <c r="EH92" s="56"/>
      <c r="EI92" s="56"/>
      <c r="EJ92" s="56"/>
      <c r="EK92" s="56"/>
      <c r="EL92" s="56"/>
      <c r="EM92" s="56"/>
      <c r="EN92" s="56"/>
      <c r="EO92" s="56"/>
      <c r="EP92" s="56"/>
      <c r="EQ92" s="56"/>
      <c r="ER92" s="56"/>
      <c r="ES92" s="56"/>
      <c r="ET92" s="56"/>
      <c r="EU92" s="56"/>
      <c r="EV92" s="56"/>
      <c r="EW92" s="56"/>
      <c r="EX92" s="56"/>
      <c r="EY92" s="56"/>
      <c r="EZ92" s="56"/>
      <c r="FA92" s="56"/>
    </row>
    <row r="93" spans="1:157" x14ac:dyDescent="0.35">
      <c r="A93" s="65" t="str">
        <f t="shared" si="10"/>
        <v/>
      </c>
      <c r="B93" s="68" t="str">
        <f>Stoff!A93</f>
        <v>nystoff 7</v>
      </c>
      <c r="C93" s="67">
        <f t="shared" si="11"/>
        <v>0</v>
      </c>
      <c r="D93" s="55">
        <f t="shared" si="12"/>
        <v>0</v>
      </c>
      <c r="E93" s="55" t="e">
        <f t="shared" si="13"/>
        <v>#DIV/0!</v>
      </c>
      <c r="F93" s="66" t="e">
        <f t="shared" si="14"/>
        <v>#NUM!</v>
      </c>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c r="EA93" s="56"/>
      <c r="EB93" s="56"/>
      <c r="EC93" s="56"/>
      <c r="ED93" s="56"/>
      <c r="EE93" s="56"/>
      <c r="EF93" s="56"/>
      <c r="EG93" s="56"/>
      <c r="EH93" s="56"/>
      <c r="EI93" s="56"/>
      <c r="EJ93" s="56"/>
      <c r="EK93" s="56"/>
      <c r="EL93" s="56"/>
      <c r="EM93" s="56"/>
      <c r="EN93" s="56"/>
      <c r="EO93" s="56"/>
      <c r="EP93" s="56"/>
      <c r="EQ93" s="56"/>
      <c r="ER93" s="56"/>
      <c r="ES93" s="56"/>
      <c r="ET93" s="56"/>
      <c r="EU93" s="56"/>
      <c r="EV93" s="56"/>
      <c r="EW93" s="56"/>
      <c r="EX93" s="56"/>
      <c r="EY93" s="56"/>
      <c r="EZ93" s="56"/>
      <c r="FA93" s="56"/>
    </row>
    <row r="94" spans="1:157" x14ac:dyDescent="0.35">
      <c r="A94" s="65" t="str">
        <f t="shared" si="10"/>
        <v/>
      </c>
      <c r="B94" s="68" t="str">
        <f>Stoff!A94</f>
        <v>nystoff 8</v>
      </c>
      <c r="C94" s="67">
        <f t="shared" si="11"/>
        <v>0</v>
      </c>
      <c r="D94" s="55">
        <f t="shared" si="12"/>
        <v>0</v>
      </c>
      <c r="E94" s="55" t="e">
        <f t="shared" si="13"/>
        <v>#DIV/0!</v>
      </c>
      <c r="F94" s="66" t="e">
        <f t="shared" si="14"/>
        <v>#NUM!</v>
      </c>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c r="EJ94" s="56"/>
      <c r="EK94" s="56"/>
      <c r="EL94" s="56"/>
      <c r="EM94" s="56"/>
      <c r="EN94" s="56"/>
      <c r="EO94" s="56"/>
      <c r="EP94" s="56"/>
      <c r="EQ94" s="56"/>
      <c r="ER94" s="56"/>
      <c r="ES94" s="56"/>
      <c r="ET94" s="56"/>
      <c r="EU94" s="56"/>
      <c r="EV94" s="56"/>
      <c r="EW94" s="56"/>
      <c r="EX94" s="56"/>
      <c r="EY94" s="56"/>
      <c r="EZ94" s="56"/>
      <c r="FA94" s="56"/>
    </row>
    <row r="95" spans="1:157" x14ac:dyDescent="0.35">
      <c r="A95" s="65" t="str">
        <f t="shared" si="10"/>
        <v/>
      </c>
      <c r="B95" s="68" t="str">
        <f>Stoff!A95</f>
        <v>nystoff 9</v>
      </c>
      <c r="C95" s="67">
        <f t="shared" si="11"/>
        <v>0</v>
      </c>
      <c r="D95" s="55">
        <f t="shared" si="12"/>
        <v>0</v>
      </c>
      <c r="E95" s="55" t="e">
        <f t="shared" si="13"/>
        <v>#DIV/0!</v>
      </c>
      <c r="F95" s="66" t="e">
        <f t="shared" si="14"/>
        <v>#NUM!</v>
      </c>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EW95" s="56"/>
      <c r="EX95" s="56"/>
      <c r="EY95" s="56"/>
      <c r="EZ95" s="56"/>
      <c r="FA95" s="56"/>
    </row>
    <row r="96" spans="1:157" x14ac:dyDescent="0.35">
      <c r="A96" s="65" t="str">
        <f t="shared" si="10"/>
        <v/>
      </c>
      <c r="B96" s="68" t="str">
        <f>Stoff!A96</f>
        <v>nystoff 10</v>
      </c>
      <c r="C96" s="67">
        <f t="shared" si="11"/>
        <v>0</v>
      </c>
      <c r="D96" s="55">
        <f t="shared" si="12"/>
        <v>0</v>
      </c>
      <c r="E96" s="55" t="e">
        <f t="shared" si="13"/>
        <v>#DIV/0!</v>
      </c>
      <c r="F96" s="66" t="e">
        <f t="shared" si="14"/>
        <v>#NUM!</v>
      </c>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c r="EN96" s="56"/>
      <c r="EO96" s="56"/>
      <c r="EP96" s="56"/>
      <c r="EQ96" s="56"/>
      <c r="ER96" s="56"/>
      <c r="ES96" s="56"/>
      <c r="ET96" s="56"/>
      <c r="EU96" s="56"/>
      <c r="EV96" s="56"/>
      <c r="EW96" s="56"/>
      <c r="EX96" s="56"/>
      <c r="EY96" s="56"/>
      <c r="EZ96" s="56"/>
      <c r="FA96" s="56"/>
    </row>
    <row r="97" spans="1:157" x14ac:dyDescent="0.35">
      <c r="A97" s="65" t="str">
        <f t="shared" si="10"/>
        <v/>
      </c>
      <c r="B97" s="68" t="str">
        <f>Stoff!A97</f>
        <v>nystoff 11</v>
      </c>
      <c r="C97" s="67">
        <f t="shared" si="11"/>
        <v>0</v>
      </c>
      <c r="D97" s="55">
        <f t="shared" si="12"/>
        <v>0</v>
      </c>
      <c r="E97" s="55" t="e">
        <f t="shared" si="13"/>
        <v>#DIV/0!</v>
      </c>
      <c r="F97" s="66" t="e">
        <f t="shared" si="14"/>
        <v>#NUM!</v>
      </c>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row>
    <row r="98" spans="1:157" x14ac:dyDescent="0.35">
      <c r="A98" s="65" t="str">
        <f t="shared" si="10"/>
        <v/>
      </c>
      <c r="B98" s="68" t="str">
        <f>Stoff!A98</f>
        <v>nystoff 12</v>
      </c>
      <c r="C98" s="67">
        <f t="shared" si="11"/>
        <v>0</v>
      </c>
      <c r="D98" s="55">
        <f t="shared" si="12"/>
        <v>0</v>
      </c>
      <c r="E98" s="55" t="e">
        <f t="shared" si="13"/>
        <v>#DIV/0!</v>
      </c>
      <c r="F98" s="66" t="e">
        <f t="shared" si="14"/>
        <v>#NUM!</v>
      </c>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row>
    <row r="99" spans="1:157" x14ac:dyDescent="0.35">
      <c r="A99" s="65" t="str">
        <f t="shared" si="10"/>
        <v/>
      </c>
      <c r="B99" s="68" t="str">
        <f>Stoff!A99</f>
        <v>nystoff 13</v>
      </c>
      <c r="C99" s="67">
        <f t="shared" si="11"/>
        <v>0</v>
      </c>
      <c r="D99" s="55">
        <f t="shared" si="12"/>
        <v>0</v>
      </c>
      <c r="E99" s="55" t="e">
        <f t="shared" si="13"/>
        <v>#DIV/0!</v>
      </c>
      <c r="F99" s="66" t="e">
        <f t="shared" si="14"/>
        <v>#NUM!</v>
      </c>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c r="EO99" s="56"/>
      <c r="EP99" s="56"/>
      <c r="EQ99" s="56"/>
      <c r="ER99" s="56"/>
      <c r="ES99" s="56"/>
      <c r="ET99" s="56"/>
      <c r="EU99" s="56"/>
      <c r="EV99" s="56"/>
      <c r="EW99" s="56"/>
      <c r="EX99" s="56"/>
      <c r="EY99" s="56"/>
      <c r="EZ99" s="56"/>
      <c r="FA99" s="56"/>
    </row>
    <row r="100" spans="1:157" x14ac:dyDescent="0.35">
      <c r="A100" s="65" t="str">
        <f t="shared" si="10"/>
        <v/>
      </c>
      <c r="B100" s="68" t="str">
        <f>Stoff!A100</f>
        <v>nystoff 14</v>
      </c>
      <c r="C100" s="67">
        <f t="shared" si="11"/>
        <v>0</v>
      </c>
      <c r="D100" s="55">
        <f t="shared" si="12"/>
        <v>0</v>
      </c>
      <c r="E100" s="55" t="e">
        <f t="shared" si="13"/>
        <v>#DIV/0!</v>
      </c>
      <c r="F100" s="66" t="e">
        <f t="shared" si="14"/>
        <v>#NUM!</v>
      </c>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c r="DQ100" s="56"/>
      <c r="DR100" s="56"/>
      <c r="DS100" s="56"/>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c r="EV100" s="56"/>
      <c r="EW100" s="56"/>
      <c r="EX100" s="56"/>
      <c r="EY100" s="56"/>
      <c r="EZ100" s="56"/>
      <c r="FA100" s="56"/>
    </row>
    <row r="101" spans="1:157" x14ac:dyDescent="0.35">
      <c r="A101" s="65" t="str">
        <f t="shared" si="10"/>
        <v/>
      </c>
      <c r="B101" s="68" t="str">
        <f>Stoff!A101</f>
        <v>nystoff 15</v>
      </c>
      <c r="C101" s="67">
        <f t="shared" si="11"/>
        <v>0</v>
      </c>
      <c r="D101" s="55">
        <f t="shared" si="12"/>
        <v>0</v>
      </c>
      <c r="E101" s="55" t="e">
        <f t="shared" si="13"/>
        <v>#DIV/0!</v>
      </c>
      <c r="F101" s="66" t="e">
        <f t="shared" si="14"/>
        <v>#NUM!</v>
      </c>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row>
    <row r="102" spans="1:157" x14ac:dyDescent="0.35">
      <c r="A102" s="65" t="str">
        <f t="shared" si="10"/>
        <v/>
      </c>
      <c r="B102" s="68" t="str">
        <f>Stoff!A102</f>
        <v>nystoff 16</v>
      </c>
      <c r="C102" s="67">
        <f t="shared" si="11"/>
        <v>0</v>
      </c>
      <c r="D102" s="55">
        <f t="shared" si="12"/>
        <v>0</v>
      </c>
      <c r="E102" s="55" t="e">
        <f t="shared" si="13"/>
        <v>#DIV/0!</v>
      </c>
      <c r="F102" s="66" t="e">
        <f t="shared" si="14"/>
        <v>#NUM!</v>
      </c>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6"/>
      <c r="DY102" s="56"/>
      <c r="DZ102" s="56"/>
      <c r="EA102" s="56"/>
      <c r="EB102" s="56"/>
      <c r="EC102" s="56"/>
      <c r="ED102" s="56"/>
      <c r="EE102" s="56"/>
      <c r="EF102" s="56"/>
      <c r="EG102" s="56"/>
      <c r="EH102" s="56"/>
      <c r="EI102" s="56"/>
      <c r="EJ102" s="56"/>
      <c r="EK102" s="56"/>
      <c r="EL102" s="56"/>
      <c r="EM102" s="56"/>
      <c r="EN102" s="56"/>
      <c r="EO102" s="56"/>
      <c r="EP102" s="56"/>
      <c r="EQ102" s="56"/>
      <c r="ER102" s="56"/>
      <c r="ES102" s="56"/>
      <c r="ET102" s="56"/>
      <c r="EU102" s="56"/>
      <c r="EV102" s="56"/>
      <c r="EW102" s="56"/>
      <c r="EX102" s="56"/>
      <c r="EY102" s="56"/>
      <c r="EZ102" s="56"/>
      <c r="FA102" s="56"/>
    </row>
    <row r="103" spans="1:157" x14ac:dyDescent="0.35">
      <c r="A103" s="65" t="str">
        <f t="shared" si="10"/>
        <v/>
      </c>
      <c r="B103" s="68" t="str">
        <f>Stoff!A103</f>
        <v>nystoff 17</v>
      </c>
      <c r="C103" s="67">
        <f t="shared" si="11"/>
        <v>0</v>
      </c>
      <c r="D103" s="55">
        <f t="shared" si="12"/>
        <v>0</v>
      </c>
      <c r="E103" s="55" t="e">
        <f t="shared" si="13"/>
        <v>#DIV/0!</v>
      </c>
      <c r="F103" s="66" t="e">
        <f t="shared" si="14"/>
        <v>#NUM!</v>
      </c>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6"/>
      <c r="EQ103" s="56"/>
      <c r="ER103" s="56"/>
      <c r="ES103" s="56"/>
      <c r="ET103" s="56"/>
      <c r="EU103" s="56"/>
      <c r="EV103" s="56"/>
      <c r="EW103" s="56"/>
      <c r="EX103" s="56"/>
      <c r="EY103" s="56"/>
      <c r="EZ103" s="56"/>
      <c r="FA103" s="56"/>
    </row>
    <row r="104" spans="1:157" x14ac:dyDescent="0.35">
      <c r="A104" s="65" t="str">
        <f t="shared" si="10"/>
        <v/>
      </c>
      <c r="B104" s="68" t="str">
        <f>Stoff!A104</f>
        <v>nystoff 18</v>
      </c>
      <c r="C104" s="67">
        <f t="shared" si="11"/>
        <v>0</v>
      </c>
      <c r="D104" s="55">
        <f t="shared" si="12"/>
        <v>0</v>
      </c>
      <c r="E104" s="55" t="e">
        <f t="shared" si="13"/>
        <v>#DIV/0!</v>
      </c>
      <c r="F104" s="66" t="e">
        <f t="shared" si="14"/>
        <v>#NUM!</v>
      </c>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row>
    <row r="105" spans="1:157" x14ac:dyDescent="0.35">
      <c r="A105" s="65" t="str">
        <f t="shared" si="10"/>
        <v/>
      </c>
      <c r="B105" s="68" t="str">
        <f>Stoff!A105</f>
        <v>nystoff 19</v>
      </c>
      <c r="C105" s="67">
        <f t="shared" si="11"/>
        <v>0</v>
      </c>
      <c r="D105" s="55">
        <f t="shared" si="12"/>
        <v>0</v>
      </c>
      <c r="E105" s="55" t="e">
        <f t="shared" si="13"/>
        <v>#DIV/0!</v>
      </c>
      <c r="F105" s="66" t="e">
        <f t="shared" si="14"/>
        <v>#NUM!</v>
      </c>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c r="EA105" s="56"/>
      <c r="EB105" s="56"/>
      <c r="EC105" s="56"/>
      <c r="ED105" s="56"/>
      <c r="EE105" s="56"/>
      <c r="EF105" s="56"/>
      <c r="EG105" s="56"/>
      <c r="EH105" s="56"/>
      <c r="EI105" s="56"/>
      <c r="EJ105" s="56"/>
      <c r="EK105" s="56"/>
      <c r="EL105" s="56"/>
      <c r="EM105" s="56"/>
      <c r="EN105" s="56"/>
      <c r="EO105" s="56"/>
      <c r="EP105" s="56"/>
      <c r="EQ105" s="56"/>
      <c r="ER105" s="56"/>
      <c r="ES105" s="56"/>
      <c r="ET105" s="56"/>
      <c r="EU105" s="56"/>
      <c r="EV105" s="56"/>
      <c r="EW105" s="56"/>
      <c r="EX105" s="56"/>
      <c r="EY105" s="56"/>
      <c r="EZ105" s="56"/>
      <c r="FA105" s="56"/>
    </row>
    <row r="106" spans="1:157" x14ac:dyDescent="0.35">
      <c r="A106" s="65" t="str">
        <f t="shared" si="10"/>
        <v/>
      </c>
      <c r="B106" s="68" t="str">
        <f>Stoff!A106</f>
        <v>nystoff 20</v>
      </c>
      <c r="C106" s="67">
        <f t="shared" si="11"/>
        <v>0</v>
      </c>
      <c r="D106" s="55">
        <f t="shared" si="12"/>
        <v>0</v>
      </c>
      <c r="E106" s="55" t="e">
        <f t="shared" si="13"/>
        <v>#DIV/0!</v>
      </c>
      <c r="F106" s="66" t="e">
        <f t="shared" si="14"/>
        <v>#NUM!</v>
      </c>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c r="DH106" s="56"/>
      <c r="DI106" s="56"/>
      <c r="DJ106" s="56"/>
      <c r="DK106" s="56"/>
      <c r="DL106" s="56"/>
      <c r="DM106" s="56"/>
      <c r="DN106" s="56"/>
      <c r="DO106" s="56"/>
      <c r="DP106" s="56"/>
      <c r="DQ106" s="56"/>
      <c r="DR106" s="56"/>
      <c r="DS106" s="56"/>
      <c r="DT106" s="56"/>
      <c r="DU106" s="56"/>
      <c r="DV106" s="56"/>
      <c r="DW106" s="56"/>
      <c r="DX106" s="56"/>
      <c r="DY106" s="56"/>
      <c r="DZ106" s="56"/>
      <c r="EA106" s="56"/>
      <c r="EB106" s="56"/>
      <c r="EC106" s="56"/>
      <c r="ED106" s="56"/>
      <c r="EE106" s="56"/>
      <c r="EF106" s="56"/>
      <c r="EG106" s="56"/>
      <c r="EH106" s="56"/>
      <c r="EI106" s="56"/>
      <c r="EJ106" s="56"/>
      <c r="EK106" s="56"/>
      <c r="EL106" s="56"/>
      <c r="EM106" s="56"/>
      <c r="EN106" s="56"/>
      <c r="EO106" s="56"/>
      <c r="EP106" s="56"/>
      <c r="EQ106" s="56"/>
      <c r="ER106" s="56"/>
      <c r="ES106" s="56"/>
      <c r="ET106" s="56"/>
      <c r="EU106" s="56"/>
      <c r="EV106" s="56"/>
      <c r="EW106" s="56"/>
      <c r="EX106" s="56"/>
      <c r="EY106" s="56"/>
      <c r="EZ106" s="56"/>
      <c r="FA106" s="56"/>
    </row>
    <row r="107" spans="1:157" x14ac:dyDescent="0.35">
      <c r="A107" s="65" t="str">
        <f t="shared" si="10"/>
        <v/>
      </c>
      <c r="B107" s="68" t="str">
        <f>Stoff!A107</f>
        <v>nystoff 21</v>
      </c>
      <c r="C107" s="67">
        <f t="shared" si="11"/>
        <v>0</v>
      </c>
      <c r="D107" s="55">
        <f t="shared" si="12"/>
        <v>0</v>
      </c>
      <c r="E107" s="55" t="e">
        <f t="shared" si="13"/>
        <v>#DIV/0!</v>
      </c>
      <c r="F107" s="66" t="e">
        <f t="shared" si="14"/>
        <v>#NUM!</v>
      </c>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row>
    <row r="108" spans="1:157" x14ac:dyDescent="0.35">
      <c r="A108" s="65" t="str">
        <f t="shared" si="10"/>
        <v/>
      </c>
      <c r="B108" s="68" t="str">
        <f>Stoff!A108</f>
        <v>nystoff 22</v>
      </c>
      <c r="C108" s="67">
        <f t="shared" si="11"/>
        <v>0</v>
      </c>
      <c r="D108" s="55">
        <f t="shared" si="12"/>
        <v>0</v>
      </c>
      <c r="E108" s="55" t="e">
        <f t="shared" si="13"/>
        <v>#DIV/0!</v>
      </c>
      <c r="F108" s="66" t="e">
        <f t="shared" si="14"/>
        <v>#NUM!</v>
      </c>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6"/>
      <c r="EB108" s="56"/>
      <c r="EC108" s="56"/>
      <c r="ED108" s="56"/>
      <c r="EE108" s="56"/>
      <c r="EF108" s="56"/>
      <c r="EG108" s="56"/>
      <c r="EH108" s="56"/>
      <c r="EI108" s="56"/>
      <c r="EJ108" s="56"/>
      <c r="EK108" s="56"/>
      <c r="EL108" s="56"/>
      <c r="EM108" s="56"/>
      <c r="EN108" s="56"/>
      <c r="EO108" s="56"/>
      <c r="EP108" s="56"/>
      <c r="EQ108" s="56"/>
      <c r="ER108" s="56"/>
      <c r="ES108" s="56"/>
      <c r="ET108" s="56"/>
      <c r="EU108" s="56"/>
      <c r="EV108" s="56"/>
      <c r="EW108" s="56"/>
      <c r="EX108" s="56"/>
      <c r="EY108" s="56"/>
      <c r="EZ108" s="56"/>
      <c r="FA108" s="56"/>
    </row>
    <row r="109" spans="1:157" x14ac:dyDescent="0.35">
      <c r="A109" s="65" t="str">
        <f t="shared" si="10"/>
        <v/>
      </c>
      <c r="B109" s="68" t="str">
        <f>Stoff!A109</f>
        <v>nystoff 23</v>
      </c>
      <c r="C109" s="67">
        <f t="shared" si="11"/>
        <v>0</v>
      </c>
      <c r="D109" s="55">
        <f t="shared" si="12"/>
        <v>0</v>
      </c>
      <c r="E109" s="55" t="e">
        <f t="shared" si="13"/>
        <v>#DIV/0!</v>
      </c>
      <c r="F109" s="66" t="e">
        <f t="shared" si="14"/>
        <v>#NUM!</v>
      </c>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6"/>
      <c r="DY109" s="56"/>
      <c r="DZ109" s="56"/>
      <c r="EA109" s="56"/>
      <c r="EB109" s="56"/>
      <c r="EC109" s="56"/>
      <c r="ED109" s="56"/>
      <c r="EE109" s="56"/>
      <c r="EF109" s="56"/>
      <c r="EG109" s="56"/>
      <c r="EH109" s="56"/>
      <c r="EI109" s="56"/>
      <c r="EJ109" s="56"/>
      <c r="EK109" s="56"/>
      <c r="EL109" s="56"/>
      <c r="EM109" s="56"/>
      <c r="EN109" s="56"/>
      <c r="EO109" s="56"/>
      <c r="EP109" s="56"/>
      <c r="EQ109" s="56"/>
      <c r="ER109" s="56"/>
      <c r="ES109" s="56"/>
      <c r="ET109" s="56"/>
      <c r="EU109" s="56"/>
      <c r="EV109" s="56"/>
      <c r="EW109" s="56"/>
      <c r="EX109" s="56"/>
      <c r="EY109" s="56"/>
      <c r="EZ109" s="56"/>
      <c r="FA109" s="56"/>
    </row>
    <row r="110" spans="1:157" x14ac:dyDescent="0.35">
      <c r="A110" s="65" t="str">
        <f t="shared" si="10"/>
        <v/>
      </c>
      <c r="B110" s="68" t="str">
        <f>Stoff!A110</f>
        <v>nystoff 24</v>
      </c>
      <c r="C110" s="67">
        <f t="shared" si="11"/>
        <v>0</v>
      </c>
      <c r="D110" s="55">
        <f t="shared" si="12"/>
        <v>0</v>
      </c>
      <c r="E110" s="55" t="e">
        <f t="shared" si="13"/>
        <v>#DIV/0!</v>
      </c>
      <c r="F110" s="66" t="e">
        <f t="shared" si="14"/>
        <v>#NUM!</v>
      </c>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c r="DY110" s="56"/>
      <c r="DZ110" s="56"/>
      <c r="EA110" s="56"/>
      <c r="EB110" s="56"/>
      <c r="EC110" s="56"/>
      <c r="ED110" s="56"/>
      <c r="EE110" s="56"/>
      <c r="EF110" s="56"/>
      <c r="EG110" s="56"/>
      <c r="EH110" s="56"/>
      <c r="EI110" s="56"/>
      <c r="EJ110" s="56"/>
      <c r="EK110" s="56"/>
      <c r="EL110" s="56"/>
      <c r="EM110" s="56"/>
      <c r="EN110" s="56"/>
      <c r="EO110" s="56"/>
      <c r="EP110" s="56"/>
      <c r="EQ110" s="56"/>
      <c r="ER110" s="56"/>
      <c r="ES110" s="56"/>
      <c r="ET110" s="56"/>
      <c r="EU110" s="56"/>
      <c r="EV110" s="56"/>
      <c r="EW110" s="56"/>
      <c r="EX110" s="56"/>
      <c r="EY110" s="56"/>
      <c r="EZ110" s="56"/>
      <c r="FA110" s="56"/>
    </row>
    <row r="111" spans="1:157" x14ac:dyDescent="0.35">
      <c r="A111" s="65" t="str">
        <f t="shared" si="10"/>
        <v/>
      </c>
      <c r="B111" s="68" t="str">
        <f>Stoff!A111</f>
        <v>nystoff 25</v>
      </c>
      <c r="C111" s="67">
        <f t="shared" si="11"/>
        <v>0</v>
      </c>
      <c r="D111" s="55">
        <f t="shared" si="12"/>
        <v>0</v>
      </c>
      <c r="E111" s="55" t="e">
        <f t="shared" si="13"/>
        <v>#DIV/0!</v>
      </c>
      <c r="F111" s="66" t="e">
        <f t="shared" si="14"/>
        <v>#NUM!</v>
      </c>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c r="ER111" s="56"/>
      <c r="ES111" s="56"/>
      <c r="ET111" s="56"/>
      <c r="EU111" s="56"/>
      <c r="EV111" s="56"/>
      <c r="EW111" s="56"/>
      <c r="EX111" s="56"/>
      <c r="EY111" s="56"/>
      <c r="EZ111" s="56"/>
      <c r="FA111" s="56"/>
    </row>
    <row r="112" spans="1:157" x14ac:dyDescent="0.35">
      <c r="A112" s="65" t="str">
        <f t="shared" si="10"/>
        <v/>
      </c>
      <c r="B112" s="68" t="str">
        <f>Stoff!A112</f>
        <v>nystoff 26</v>
      </c>
      <c r="C112" s="67">
        <f t="shared" si="11"/>
        <v>0</v>
      </c>
      <c r="D112" s="55">
        <f t="shared" si="12"/>
        <v>0</v>
      </c>
      <c r="E112" s="55" t="e">
        <f t="shared" si="13"/>
        <v>#DIV/0!</v>
      </c>
      <c r="F112" s="66" t="e">
        <f t="shared" si="14"/>
        <v>#NUM!</v>
      </c>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DF112" s="56"/>
      <c r="DG112" s="56"/>
      <c r="DH112" s="56"/>
      <c r="DI112" s="56"/>
      <c r="DJ112" s="56"/>
      <c r="DK112" s="56"/>
      <c r="DL112" s="56"/>
      <c r="DM112" s="56"/>
      <c r="DN112" s="56"/>
      <c r="DO112" s="56"/>
      <c r="DP112" s="56"/>
      <c r="DQ112" s="56"/>
      <c r="DR112" s="56"/>
      <c r="DS112" s="56"/>
      <c r="DT112" s="56"/>
      <c r="DU112" s="56"/>
      <c r="DV112" s="56"/>
      <c r="DW112" s="56"/>
      <c r="DX112" s="56"/>
      <c r="DY112" s="56"/>
      <c r="DZ112" s="56"/>
      <c r="EA112" s="56"/>
      <c r="EB112" s="56"/>
      <c r="EC112" s="56"/>
      <c r="ED112" s="56"/>
      <c r="EE112" s="56"/>
      <c r="EF112" s="56"/>
      <c r="EG112" s="56"/>
      <c r="EH112" s="56"/>
      <c r="EI112" s="56"/>
      <c r="EJ112" s="56"/>
      <c r="EK112" s="56"/>
      <c r="EL112" s="56"/>
      <c r="EM112" s="56"/>
      <c r="EN112" s="56"/>
      <c r="EO112" s="56"/>
      <c r="EP112" s="56"/>
      <c r="EQ112" s="56"/>
      <c r="ER112" s="56"/>
      <c r="ES112" s="56"/>
      <c r="ET112" s="56"/>
      <c r="EU112" s="56"/>
      <c r="EV112" s="56"/>
      <c r="EW112" s="56"/>
      <c r="EX112" s="56"/>
      <c r="EY112" s="56"/>
      <c r="EZ112" s="56"/>
      <c r="FA112" s="56"/>
    </row>
    <row r="113" spans="1:157" x14ac:dyDescent="0.35">
      <c r="A113" s="65" t="str">
        <f t="shared" si="10"/>
        <v/>
      </c>
      <c r="B113" s="68" t="str">
        <f>Stoff!A113</f>
        <v>nystoff 27</v>
      </c>
      <c r="C113" s="67">
        <f t="shared" si="11"/>
        <v>0</v>
      </c>
      <c r="D113" s="55">
        <f t="shared" si="12"/>
        <v>0</v>
      </c>
      <c r="E113" s="55" t="e">
        <f t="shared" si="13"/>
        <v>#DIV/0!</v>
      </c>
      <c r="F113" s="66" t="e">
        <f t="shared" si="14"/>
        <v>#NUM!</v>
      </c>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c r="DH113" s="56"/>
      <c r="DI113" s="56"/>
      <c r="DJ113" s="56"/>
      <c r="DK113" s="56"/>
      <c r="DL113" s="56"/>
      <c r="DM113" s="56"/>
      <c r="DN113" s="56"/>
      <c r="DO113" s="56"/>
      <c r="DP113" s="56"/>
      <c r="DQ113" s="56"/>
      <c r="DR113" s="56"/>
      <c r="DS113" s="56"/>
      <c r="DT113" s="56"/>
      <c r="DU113" s="56"/>
      <c r="DV113" s="56"/>
      <c r="DW113" s="56"/>
      <c r="DX113" s="56"/>
      <c r="DY113" s="56"/>
      <c r="DZ113" s="56"/>
      <c r="EA113" s="56"/>
      <c r="EB113" s="56"/>
      <c r="EC113" s="56"/>
      <c r="ED113" s="56"/>
      <c r="EE113" s="56"/>
      <c r="EF113" s="56"/>
      <c r="EG113" s="56"/>
      <c r="EH113" s="56"/>
      <c r="EI113" s="56"/>
      <c r="EJ113" s="56"/>
      <c r="EK113" s="56"/>
      <c r="EL113" s="56"/>
      <c r="EM113" s="56"/>
      <c r="EN113" s="56"/>
      <c r="EO113" s="56"/>
      <c r="EP113" s="56"/>
      <c r="EQ113" s="56"/>
      <c r="ER113" s="56"/>
      <c r="ES113" s="56"/>
      <c r="ET113" s="56"/>
      <c r="EU113" s="56"/>
      <c r="EV113" s="56"/>
      <c r="EW113" s="56"/>
      <c r="EX113" s="56"/>
      <c r="EY113" s="56"/>
      <c r="EZ113" s="56"/>
      <c r="FA113" s="56"/>
    </row>
    <row r="114" spans="1:157" x14ac:dyDescent="0.35">
      <c r="A114" s="65" t="str">
        <f t="shared" si="10"/>
        <v/>
      </c>
      <c r="B114" s="68" t="str">
        <f>Stoff!A114</f>
        <v>nystoff 28</v>
      </c>
      <c r="C114" s="67">
        <f t="shared" si="11"/>
        <v>0</v>
      </c>
      <c r="D114" s="55">
        <f t="shared" si="12"/>
        <v>0</v>
      </c>
      <c r="E114" s="55" t="e">
        <f t="shared" si="13"/>
        <v>#DIV/0!</v>
      </c>
      <c r="F114" s="66" t="e">
        <f t="shared" si="14"/>
        <v>#NUM!</v>
      </c>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c r="EA114" s="56"/>
      <c r="EB114" s="56"/>
      <c r="EC114" s="56"/>
      <c r="ED114" s="56"/>
      <c r="EE114" s="56"/>
      <c r="EF114" s="56"/>
      <c r="EG114" s="56"/>
      <c r="EH114" s="56"/>
      <c r="EI114" s="56"/>
      <c r="EJ114" s="56"/>
      <c r="EK114" s="56"/>
      <c r="EL114" s="56"/>
      <c r="EM114" s="56"/>
      <c r="EN114" s="56"/>
      <c r="EO114" s="56"/>
      <c r="EP114" s="56"/>
      <c r="EQ114" s="56"/>
      <c r="ER114" s="56"/>
      <c r="ES114" s="56"/>
      <c r="ET114" s="56"/>
      <c r="EU114" s="56"/>
      <c r="EV114" s="56"/>
      <c r="EW114" s="56"/>
      <c r="EX114" s="56"/>
      <c r="EY114" s="56"/>
      <c r="EZ114" s="56"/>
      <c r="FA114" s="56"/>
    </row>
  </sheetData>
  <sheetProtection sheet="1" objects="1" scenarios="1" selectLockedCells="1"/>
  <mergeCells count="4">
    <mergeCell ref="C1:E2"/>
    <mergeCell ref="F1:F2"/>
    <mergeCell ref="G1:L2"/>
    <mergeCell ref="B2:B3"/>
  </mergeCells>
  <conditionalFormatting sqref="D4:F114">
    <cfRule type="expression" dxfId="65" priority="7" stopIfTrue="1">
      <formula>$D4=0</formula>
    </cfRule>
  </conditionalFormatting>
  <conditionalFormatting sqref="BJ4:IV37 BJ38:FA51 G4:BI51">
    <cfRule type="cellIs" dxfId="64" priority="8" stopIfTrue="1" operator="equal">
      <formula>0</formula>
    </cfRule>
  </conditionalFormatting>
  <conditionalFormatting sqref="C4:C69">
    <cfRule type="expression" dxfId="63" priority="9" stopIfTrue="1">
      <formula>C4=0</formula>
    </cfRule>
  </conditionalFormatting>
  <conditionalFormatting sqref="G52:FA69">
    <cfRule type="cellIs" dxfId="62" priority="6" stopIfTrue="1" operator="equal">
      <formula>0</formula>
    </cfRule>
  </conditionalFormatting>
  <conditionalFormatting sqref="C70:C114">
    <cfRule type="expression" dxfId="61" priority="5" stopIfTrue="1">
      <formula>C70=0</formula>
    </cfRule>
  </conditionalFormatting>
  <conditionalFormatting sqref="G70:FA114">
    <cfRule type="cellIs" dxfId="60" priority="4" stopIfTrue="1" operator="equal">
      <formula>0</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2"/>
  </sheetPr>
  <dimension ref="A1:IV114"/>
  <sheetViews>
    <sheetView workbookViewId="0">
      <selection activeCell="G86" sqref="G86"/>
    </sheetView>
  </sheetViews>
  <sheetFormatPr baseColWidth="10" defaultColWidth="11.453125" defaultRowHeight="14.5" x14ac:dyDescent="0.35"/>
  <cols>
    <col min="1" max="1" width="2.81640625" style="64" customWidth="1"/>
    <col min="2" max="2" width="48.7265625" style="65" customWidth="1"/>
    <col min="3" max="3" width="7" style="57" customWidth="1"/>
    <col min="4" max="4" width="9.7265625" style="57" customWidth="1"/>
    <col min="5" max="5" width="12.26953125" style="57" customWidth="1"/>
    <col min="6" max="6" width="16.26953125" style="57" customWidth="1"/>
    <col min="7" max="7" width="9.54296875" style="55" customWidth="1"/>
    <col min="8" max="15" width="9.54296875" style="57" customWidth="1"/>
    <col min="16" max="18" width="10" style="57" customWidth="1"/>
    <col min="19" max="137" width="9.1796875" style="57" customWidth="1"/>
    <col min="138" max="256" width="11.453125" style="64"/>
  </cols>
  <sheetData>
    <row r="1" spans="1:247" ht="15" customHeight="1" x14ac:dyDescent="0.35">
      <c r="B1" s="78"/>
      <c r="C1" s="379" t="s">
        <v>675</v>
      </c>
      <c r="D1" s="379"/>
      <c r="E1" s="379"/>
      <c r="F1" s="380" t="s">
        <v>465</v>
      </c>
      <c r="G1" s="382" t="s">
        <v>763</v>
      </c>
      <c r="H1" s="383"/>
      <c r="I1" s="383"/>
      <c r="J1" s="383"/>
      <c r="K1" s="383"/>
      <c r="L1" s="384"/>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row>
    <row r="2" spans="1:247" x14ac:dyDescent="0.35">
      <c r="A2" s="64" t="s">
        <v>137</v>
      </c>
      <c r="B2" s="388" t="s">
        <v>211</v>
      </c>
      <c r="C2" s="379"/>
      <c r="D2" s="379"/>
      <c r="E2" s="379"/>
      <c r="F2" s="381"/>
      <c r="G2" s="385"/>
      <c r="H2" s="386"/>
      <c r="I2" s="386"/>
      <c r="J2" s="386"/>
      <c r="K2" s="386"/>
      <c r="L2" s="387"/>
      <c r="M2" s="77"/>
      <c r="N2" s="77"/>
      <c r="O2" s="77"/>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row>
    <row r="3" spans="1:247" ht="55.5" x14ac:dyDescent="0.35">
      <c r="A3" s="65" t="s">
        <v>137</v>
      </c>
      <c r="B3" s="388"/>
      <c r="C3" s="74" t="s">
        <v>464</v>
      </c>
      <c r="D3" s="74" t="s">
        <v>484</v>
      </c>
      <c r="E3" s="74" t="s">
        <v>485</v>
      </c>
      <c r="F3" s="74" t="s">
        <v>486</v>
      </c>
      <c r="G3" s="73" t="s">
        <v>463</v>
      </c>
      <c r="H3" s="73" t="s">
        <v>462</v>
      </c>
      <c r="I3" s="73" t="s">
        <v>461</v>
      </c>
      <c r="J3" s="73" t="s">
        <v>460</v>
      </c>
      <c r="K3" s="73" t="s">
        <v>459</v>
      </c>
      <c r="L3" s="73" t="s">
        <v>458</v>
      </c>
      <c r="M3" s="73" t="s">
        <v>457</v>
      </c>
      <c r="N3" s="73" t="s">
        <v>456</v>
      </c>
      <c r="O3" s="73" t="s">
        <v>455</v>
      </c>
      <c r="P3" s="73" t="s">
        <v>454</v>
      </c>
      <c r="Q3" s="73" t="s">
        <v>453</v>
      </c>
      <c r="R3" s="73" t="s">
        <v>452</v>
      </c>
      <c r="S3" s="73" t="s">
        <v>451</v>
      </c>
      <c r="T3" s="73" t="s">
        <v>450</v>
      </c>
      <c r="U3" s="73" t="s">
        <v>449</v>
      </c>
      <c r="V3" s="73" t="s">
        <v>448</v>
      </c>
      <c r="W3" s="73" t="s">
        <v>447</v>
      </c>
      <c r="X3" s="73" t="s">
        <v>446</v>
      </c>
      <c r="Y3" s="73" t="s">
        <v>445</v>
      </c>
      <c r="Z3" s="73" t="s">
        <v>444</v>
      </c>
      <c r="AA3" s="73" t="s">
        <v>443</v>
      </c>
      <c r="AB3" s="73" t="s">
        <v>442</v>
      </c>
      <c r="AC3" s="73" t="s">
        <v>441</v>
      </c>
      <c r="AD3" s="73" t="s">
        <v>440</v>
      </c>
      <c r="AE3" s="73" t="s">
        <v>439</v>
      </c>
      <c r="AF3" s="73" t="s">
        <v>438</v>
      </c>
      <c r="AG3" s="73" t="s">
        <v>437</v>
      </c>
      <c r="AH3" s="73" t="s">
        <v>436</v>
      </c>
      <c r="AI3" s="73" t="s">
        <v>435</v>
      </c>
      <c r="AJ3" s="73" t="s">
        <v>434</v>
      </c>
      <c r="AK3" s="73" t="s">
        <v>433</v>
      </c>
      <c r="AL3" s="73" t="s">
        <v>432</v>
      </c>
      <c r="AM3" s="73" t="s">
        <v>431</v>
      </c>
      <c r="AN3" s="73" t="s">
        <v>430</v>
      </c>
      <c r="AO3" s="73" t="s">
        <v>429</v>
      </c>
      <c r="AP3" s="73" t="s">
        <v>428</v>
      </c>
      <c r="AQ3" s="73" t="s">
        <v>427</v>
      </c>
      <c r="AR3" s="73" t="s">
        <v>426</v>
      </c>
      <c r="AS3" s="73" t="s">
        <v>425</v>
      </c>
      <c r="AT3" s="73" t="s">
        <v>424</v>
      </c>
      <c r="AU3" s="73" t="s">
        <v>423</v>
      </c>
      <c r="AV3" s="73" t="s">
        <v>422</v>
      </c>
      <c r="AW3" s="73" t="s">
        <v>421</v>
      </c>
      <c r="AX3" s="73" t="s">
        <v>420</v>
      </c>
      <c r="AY3" s="73" t="s">
        <v>419</v>
      </c>
      <c r="AZ3" s="73" t="s">
        <v>418</v>
      </c>
      <c r="BA3" s="73" t="s">
        <v>417</v>
      </c>
      <c r="BB3" s="73" t="s">
        <v>416</v>
      </c>
      <c r="BC3" s="73" t="s">
        <v>415</v>
      </c>
      <c r="BD3" s="73" t="s">
        <v>414</v>
      </c>
      <c r="BE3" s="73" t="s">
        <v>413</v>
      </c>
      <c r="BF3" s="73" t="s">
        <v>412</v>
      </c>
      <c r="BG3" s="73" t="s">
        <v>411</v>
      </c>
      <c r="BH3" s="73" t="s">
        <v>410</v>
      </c>
      <c r="BI3" s="73" t="s">
        <v>409</v>
      </c>
      <c r="BJ3" s="73" t="s">
        <v>408</v>
      </c>
      <c r="BK3" s="73" t="s">
        <v>407</v>
      </c>
      <c r="BL3" s="73" t="s">
        <v>406</v>
      </c>
      <c r="BM3" s="73" t="s">
        <v>405</v>
      </c>
      <c r="BN3" s="73" t="s">
        <v>404</v>
      </c>
      <c r="BO3" s="73" t="s">
        <v>403</v>
      </c>
      <c r="BP3" s="73" t="s">
        <v>402</v>
      </c>
      <c r="BQ3" s="73" t="s">
        <v>401</v>
      </c>
      <c r="BR3" s="73" t="s">
        <v>400</v>
      </c>
      <c r="BS3" s="73" t="s">
        <v>399</v>
      </c>
      <c r="BT3" s="73" t="s">
        <v>398</v>
      </c>
      <c r="BU3" s="73" t="s">
        <v>397</v>
      </c>
      <c r="BV3" s="73" t="s">
        <v>396</v>
      </c>
      <c r="BW3" s="73" t="s">
        <v>395</v>
      </c>
      <c r="BX3" s="73" t="s">
        <v>394</v>
      </c>
      <c r="BY3" s="73" t="s">
        <v>393</v>
      </c>
      <c r="BZ3" s="73" t="s">
        <v>392</v>
      </c>
      <c r="CA3" s="73" t="s">
        <v>391</v>
      </c>
      <c r="CB3" s="73" t="s">
        <v>390</v>
      </c>
      <c r="CC3" s="73" t="s">
        <v>389</v>
      </c>
      <c r="CD3" s="73" t="s">
        <v>388</v>
      </c>
      <c r="CE3" s="73" t="s">
        <v>387</v>
      </c>
      <c r="CF3" s="73" t="s">
        <v>386</v>
      </c>
      <c r="CG3" s="73" t="s">
        <v>385</v>
      </c>
      <c r="CH3" s="73" t="s">
        <v>384</v>
      </c>
      <c r="CI3" s="73" t="s">
        <v>383</v>
      </c>
      <c r="CJ3" s="73" t="s">
        <v>382</v>
      </c>
      <c r="CK3" s="73" t="s">
        <v>381</v>
      </c>
      <c r="CL3" s="73" t="s">
        <v>380</v>
      </c>
      <c r="CM3" s="73" t="s">
        <v>379</v>
      </c>
      <c r="CN3" s="73" t="s">
        <v>378</v>
      </c>
      <c r="CO3" s="73" t="s">
        <v>377</v>
      </c>
      <c r="CP3" s="73" t="s">
        <v>376</v>
      </c>
      <c r="CQ3" s="73" t="s">
        <v>375</v>
      </c>
      <c r="CR3" s="73" t="s">
        <v>374</v>
      </c>
      <c r="CS3" s="73" t="s">
        <v>373</v>
      </c>
      <c r="CT3" s="73" t="s">
        <v>372</v>
      </c>
      <c r="CU3" s="73" t="s">
        <v>371</v>
      </c>
      <c r="CV3" s="73" t="s">
        <v>370</v>
      </c>
      <c r="CW3" s="73" t="s">
        <v>369</v>
      </c>
      <c r="CX3" s="73" t="s">
        <v>368</v>
      </c>
      <c r="CY3" s="73" t="s">
        <v>367</v>
      </c>
      <c r="CZ3" s="73" t="s">
        <v>366</v>
      </c>
      <c r="DA3" s="73" t="s">
        <v>365</v>
      </c>
      <c r="DB3" s="73" t="s">
        <v>364</v>
      </c>
      <c r="DC3" s="73" t="s">
        <v>363</v>
      </c>
      <c r="DD3" s="73" t="s">
        <v>362</v>
      </c>
      <c r="DE3" s="73" t="s">
        <v>361</v>
      </c>
      <c r="DF3" s="73" t="s">
        <v>360</v>
      </c>
      <c r="DG3" s="73" t="s">
        <v>359</v>
      </c>
      <c r="DH3" s="73" t="s">
        <v>358</v>
      </c>
      <c r="DI3" s="73" t="s">
        <v>357</v>
      </c>
      <c r="DJ3" s="73" t="s">
        <v>356</v>
      </c>
      <c r="DK3" s="73" t="s">
        <v>355</v>
      </c>
      <c r="DL3" s="73" t="s">
        <v>354</v>
      </c>
      <c r="DM3" s="73" t="s">
        <v>353</v>
      </c>
      <c r="DN3" s="73" t="s">
        <v>352</v>
      </c>
      <c r="DO3" s="73" t="s">
        <v>351</v>
      </c>
      <c r="DP3" s="73" t="s">
        <v>350</v>
      </c>
      <c r="DQ3" s="73" t="s">
        <v>349</v>
      </c>
      <c r="DR3" s="73" t="s">
        <v>348</v>
      </c>
      <c r="DS3" s="73" t="s">
        <v>347</v>
      </c>
      <c r="DT3" s="73" t="s">
        <v>346</v>
      </c>
      <c r="DU3" s="73" t="s">
        <v>345</v>
      </c>
      <c r="DV3" s="73" t="s">
        <v>344</v>
      </c>
      <c r="DW3" s="73" t="s">
        <v>343</v>
      </c>
      <c r="DX3" s="73" t="s">
        <v>342</v>
      </c>
      <c r="DY3" s="73" t="s">
        <v>341</v>
      </c>
      <c r="DZ3" s="73" t="s">
        <v>340</v>
      </c>
      <c r="EA3" s="73" t="s">
        <v>339</v>
      </c>
      <c r="EB3" s="73" t="s">
        <v>338</v>
      </c>
      <c r="EC3" s="73" t="s">
        <v>337</v>
      </c>
      <c r="ED3" s="73" t="s">
        <v>336</v>
      </c>
      <c r="EE3" s="73" t="s">
        <v>335</v>
      </c>
      <c r="EF3" s="73" t="s">
        <v>334</v>
      </c>
      <c r="EG3" s="73" t="s">
        <v>333</v>
      </c>
      <c r="EH3" s="73" t="s">
        <v>332</v>
      </c>
      <c r="EI3" s="73" t="s">
        <v>331</v>
      </c>
      <c r="EJ3" s="73" t="s">
        <v>330</v>
      </c>
      <c r="EK3" s="73" t="s">
        <v>329</v>
      </c>
      <c r="EL3" s="73" t="s">
        <v>328</v>
      </c>
      <c r="EM3" s="73" t="s">
        <v>327</v>
      </c>
      <c r="EN3" s="73" t="s">
        <v>326</v>
      </c>
      <c r="EO3" s="73" t="s">
        <v>325</v>
      </c>
      <c r="EP3" s="73" t="s">
        <v>324</v>
      </c>
      <c r="EQ3" s="73" t="s">
        <v>323</v>
      </c>
      <c r="ER3" s="73" t="s">
        <v>322</v>
      </c>
      <c r="ES3" s="73" t="s">
        <v>321</v>
      </c>
      <c r="ET3" s="73" t="s">
        <v>320</v>
      </c>
      <c r="EU3" s="73" t="s">
        <v>319</v>
      </c>
      <c r="EV3" s="73" t="s">
        <v>318</v>
      </c>
      <c r="EW3" s="73" t="s">
        <v>317</v>
      </c>
      <c r="EX3" s="73" t="s">
        <v>316</v>
      </c>
      <c r="EY3" s="73" t="s">
        <v>315</v>
      </c>
      <c r="EZ3" s="73" t="s">
        <v>314</v>
      </c>
      <c r="FA3" s="73" t="s">
        <v>313</v>
      </c>
      <c r="FB3" s="73" t="s">
        <v>312</v>
      </c>
      <c r="FC3" s="73" t="s">
        <v>311</v>
      </c>
      <c r="FD3" s="73" t="s">
        <v>310</v>
      </c>
      <c r="FE3" s="73" t="s">
        <v>309</v>
      </c>
      <c r="FF3" s="73" t="s">
        <v>308</v>
      </c>
      <c r="FG3" s="73" t="s">
        <v>307</v>
      </c>
      <c r="FH3" s="73" t="s">
        <v>306</v>
      </c>
      <c r="FI3" s="73" t="s">
        <v>305</v>
      </c>
      <c r="FJ3" s="73" t="s">
        <v>304</v>
      </c>
      <c r="FK3" s="73" t="s">
        <v>303</v>
      </c>
      <c r="FL3" s="73" t="s">
        <v>302</v>
      </c>
      <c r="FM3" s="73" t="s">
        <v>301</v>
      </c>
      <c r="FN3" s="73" t="s">
        <v>300</v>
      </c>
      <c r="FO3" s="73" t="s">
        <v>299</v>
      </c>
      <c r="FP3" s="73" t="s">
        <v>298</v>
      </c>
      <c r="FQ3" s="73" t="s">
        <v>297</v>
      </c>
      <c r="FR3" s="73" t="s">
        <v>296</v>
      </c>
      <c r="FS3" s="73" t="s">
        <v>295</v>
      </c>
      <c r="FT3" s="73" t="s">
        <v>294</v>
      </c>
      <c r="FU3" s="73" t="s">
        <v>293</v>
      </c>
      <c r="FV3" s="73" t="s">
        <v>292</v>
      </c>
      <c r="FW3" s="73" t="s">
        <v>291</v>
      </c>
      <c r="FX3" s="73" t="s">
        <v>290</v>
      </c>
      <c r="FY3" s="73" t="s">
        <v>289</v>
      </c>
      <c r="FZ3" s="73" t="s">
        <v>288</v>
      </c>
      <c r="GA3" s="73" t="s">
        <v>287</v>
      </c>
      <c r="GB3" s="73" t="s">
        <v>286</v>
      </c>
      <c r="GC3" s="73" t="s">
        <v>285</v>
      </c>
      <c r="GD3" s="73" t="s">
        <v>284</v>
      </c>
      <c r="GE3" s="73" t="s">
        <v>283</v>
      </c>
      <c r="GF3" s="73" t="s">
        <v>282</v>
      </c>
      <c r="GG3" s="73" t="s">
        <v>281</v>
      </c>
      <c r="GH3" s="73" t="s">
        <v>280</v>
      </c>
      <c r="GI3" s="73" t="s">
        <v>279</v>
      </c>
      <c r="GJ3" s="73" t="s">
        <v>278</v>
      </c>
      <c r="GK3" s="73" t="s">
        <v>277</v>
      </c>
      <c r="GL3" s="73" t="s">
        <v>276</v>
      </c>
      <c r="GM3" s="73" t="s">
        <v>275</v>
      </c>
      <c r="GN3" s="73" t="s">
        <v>274</v>
      </c>
      <c r="GO3" s="73" t="s">
        <v>273</v>
      </c>
      <c r="GP3" s="73" t="s">
        <v>272</v>
      </c>
      <c r="GQ3" s="73" t="s">
        <v>271</v>
      </c>
      <c r="GR3" s="73" t="s">
        <v>270</v>
      </c>
      <c r="GS3" s="73" t="s">
        <v>269</v>
      </c>
      <c r="GT3" s="73" t="s">
        <v>268</v>
      </c>
      <c r="GU3" s="73" t="s">
        <v>267</v>
      </c>
      <c r="GV3" s="73" t="s">
        <v>266</v>
      </c>
      <c r="GW3" s="73" t="s">
        <v>265</v>
      </c>
      <c r="GX3" s="73" t="s">
        <v>264</v>
      </c>
      <c r="GY3" s="73" t="s">
        <v>263</v>
      </c>
      <c r="GZ3" s="73" t="s">
        <v>262</v>
      </c>
      <c r="HA3" s="73" t="s">
        <v>261</v>
      </c>
      <c r="HB3" s="73" t="s">
        <v>260</v>
      </c>
      <c r="HC3" s="73" t="s">
        <v>259</v>
      </c>
      <c r="HD3" s="73" t="s">
        <v>258</v>
      </c>
      <c r="HE3" s="73" t="s">
        <v>257</v>
      </c>
      <c r="HF3" s="73" t="s">
        <v>256</v>
      </c>
      <c r="HG3" s="73" t="s">
        <v>255</v>
      </c>
      <c r="HH3" s="73" t="s">
        <v>254</v>
      </c>
      <c r="HI3" s="73" t="s">
        <v>253</v>
      </c>
      <c r="HJ3" s="73" t="s">
        <v>252</v>
      </c>
      <c r="HK3" s="73" t="s">
        <v>251</v>
      </c>
      <c r="HL3" s="73" t="s">
        <v>250</v>
      </c>
      <c r="HM3" s="73" t="s">
        <v>249</v>
      </c>
      <c r="HN3" s="73" t="s">
        <v>248</v>
      </c>
      <c r="HO3" s="73" t="s">
        <v>247</v>
      </c>
      <c r="HP3" s="73" t="s">
        <v>246</v>
      </c>
      <c r="HQ3" s="73" t="s">
        <v>245</v>
      </c>
      <c r="HR3" s="73" t="s">
        <v>244</v>
      </c>
      <c r="HS3" s="73" t="s">
        <v>243</v>
      </c>
      <c r="HT3" s="73" t="s">
        <v>242</v>
      </c>
      <c r="HU3" s="73" t="s">
        <v>241</v>
      </c>
      <c r="HV3" s="73" t="s">
        <v>240</v>
      </c>
      <c r="HW3" s="73" t="s">
        <v>239</v>
      </c>
      <c r="HX3" s="73" t="s">
        <v>238</v>
      </c>
      <c r="HY3" s="73" t="s">
        <v>237</v>
      </c>
      <c r="HZ3" s="73" t="s">
        <v>236</v>
      </c>
      <c r="IA3" s="73" t="s">
        <v>235</v>
      </c>
      <c r="IB3" s="73" t="s">
        <v>234</v>
      </c>
      <c r="IC3" s="73" t="s">
        <v>233</v>
      </c>
      <c r="ID3" s="73" t="s">
        <v>232</v>
      </c>
      <c r="IE3" s="73" t="s">
        <v>231</v>
      </c>
      <c r="IF3" s="73" t="s">
        <v>230</v>
      </c>
      <c r="IG3" s="73" t="s">
        <v>229</v>
      </c>
      <c r="IH3" s="73" t="s">
        <v>228</v>
      </c>
      <c r="II3" s="73" t="s">
        <v>227</v>
      </c>
      <c r="IJ3" s="73" t="s">
        <v>226</v>
      </c>
      <c r="IK3" s="73" t="s">
        <v>225</v>
      </c>
      <c r="IL3" s="73" t="s">
        <v>224</v>
      </c>
      <c r="IM3" s="73" t="s">
        <v>223</v>
      </c>
    </row>
    <row r="4" spans="1:247" x14ac:dyDescent="0.35">
      <c r="A4" s="65" t="str">
        <f t="shared" ref="A4:A67" si="0">IF(C4&gt;0,"x","")</f>
        <v/>
      </c>
      <c r="B4" s="68" t="str">
        <f>Stoff!A4</f>
        <v>Arsen</v>
      </c>
      <c r="C4" s="67">
        <f t="shared" ref="C4:C67" si="1">COUNT(G4:IV4)</f>
        <v>0</v>
      </c>
      <c r="D4" s="55">
        <f t="shared" ref="D4:D67" si="2">MAXA(G4:IV4)</f>
        <v>0</v>
      </c>
      <c r="E4" s="55" t="e">
        <f t="shared" ref="E4:E67" si="3">AVERAGE(G4:IV4)</f>
        <v>#DIV/0!</v>
      </c>
      <c r="F4" s="66" t="e">
        <f t="shared" ref="F4:F67" si="4">D4/MEDIAN(G4:IV4)</f>
        <v>#NUM!</v>
      </c>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70"/>
      <c r="EE4" s="70"/>
      <c r="EF4" s="70"/>
      <c r="EG4" s="70"/>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row>
    <row r="5" spans="1:247" x14ac:dyDescent="0.35">
      <c r="A5" s="65" t="str">
        <f t="shared" si="0"/>
        <v/>
      </c>
      <c r="B5" s="68" t="str">
        <f>Stoff!A5</f>
        <v>Bly</v>
      </c>
      <c r="C5" s="67">
        <f t="shared" si="1"/>
        <v>0</v>
      </c>
      <c r="D5" s="55">
        <f t="shared" si="2"/>
        <v>0</v>
      </c>
      <c r="E5" s="55" t="e">
        <f t="shared" si="3"/>
        <v>#DIV/0!</v>
      </c>
      <c r="F5" s="66" t="e">
        <f t="shared" si="4"/>
        <v>#NUM!</v>
      </c>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70"/>
      <c r="EE5" s="70"/>
      <c r="EF5" s="70"/>
      <c r="EG5" s="70"/>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row>
    <row r="6" spans="1:247" x14ac:dyDescent="0.35">
      <c r="A6" s="65" t="str">
        <f t="shared" si="0"/>
        <v/>
      </c>
      <c r="B6" s="68" t="str">
        <f>Stoff!A6</f>
        <v>Kadmium</v>
      </c>
      <c r="C6" s="67">
        <f t="shared" si="1"/>
        <v>0</v>
      </c>
      <c r="D6" s="55">
        <f t="shared" si="2"/>
        <v>0</v>
      </c>
      <c r="E6" s="55" t="e">
        <f t="shared" si="3"/>
        <v>#DIV/0!</v>
      </c>
      <c r="F6" s="66" t="e">
        <f t="shared" si="4"/>
        <v>#NUM!</v>
      </c>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70"/>
      <c r="EE6" s="70"/>
      <c r="EF6" s="70"/>
      <c r="EG6" s="70"/>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row>
    <row r="7" spans="1:247" x14ac:dyDescent="0.35">
      <c r="A7" s="65" t="str">
        <f t="shared" si="0"/>
        <v/>
      </c>
      <c r="B7" s="68" t="str">
        <f>Stoff!A7</f>
        <v>Kvikksølv</v>
      </c>
      <c r="C7" s="67">
        <f t="shared" si="1"/>
        <v>0</v>
      </c>
      <c r="D7" s="55">
        <f t="shared" si="2"/>
        <v>0</v>
      </c>
      <c r="E7" s="55" t="e">
        <f t="shared" si="3"/>
        <v>#DIV/0!</v>
      </c>
      <c r="F7" s="66" t="e">
        <f t="shared" si="4"/>
        <v>#NUM!</v>
      </c>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70"/>
      <c r="EE7" s="70"/>
      <c r="EF7" s="70"/>
      <c r="EG7" s="70"/>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row>
    <row r="8" spans="1:247" x14ac:dyDescent="0.35">
      <c r="A8" s="65" t="str">
        <f t="shared" si="0"/>
        <v/>
      </c>
      <c r="B8" s="68" t="str">
        <f>Stoff!A8</f>
        <v>Kobber</v>
      </c>
      <c r="C8" s="67">
        <f t="shared" si="1"/>
        <v>0</v>
      </c>
      <c r="D8" s="55">
        <f t="shared" si="2"/>
        <v>0</v>
      </c>
      <c r="E8" s="55" t="e">
        <f t="shared" si="3"/>
        <v>#DIV/0!</v>
      </c>
      <c r="F8" s="66" t="e">
        <f t="shared" si="4"/>
        <v>#NUM!</v>
      </c>
      <c r="G8" s="56"/>
      <c r="H8" s="56"/>
      <c r="I8" s="56"/>
      <c r="J8" s="56"/>
      <c r="K8" s="56"/>
      <c r="L8" s="72"/>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70"/>
      <c r="EE8" s="70"/>
      <c r="EF8" s="70"/>
      <c r="EG8" s="70"/>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row>
    <row r="9" spans="1:247" x14ac:dyDescent="0.35">
      <c r="A9" s="65" t="str">
        <f t="shared" si="0"/>
        <v/>
      </c>
      <c r="B9" s="68" t="str">
        <f>Stoff!A9</f>
        <v>Sink</v>
      </c>
      <c r="C9" s="67">
        <f t="shared" si="1"/>
        <v>0</v>
      </c>
      <c r="D9" s="55">
        <f t="shared" si="2"/>
        <v>0</v>
      </c>
      <c r="E9" s="55" t="e">
        <f t="shared" si="3"/>
        <v>#DIV/0!</v>
      </c>
      <c r="F9" s="66" t="e">
        <f t="shared" si="4"/>
        <v>#NUM!</v>
      </c>
      <c r="G9" s="56"/>
      <c r="H9" s="56"/>
      <c r="I9" s="56"/>
      <c r="J9" s="56"/>
      <c r="K9" s="56"/>
      <c r="L9" s="72"/>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70"/>
      <c r="EE9" s="70"/>
      <c r="EF9" s="70"/>
      <c r="EG9" s="70"/>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row>
    <row r="10" spans="1:247" x14ac:dyDescent="0.35">
      <c r="A10" s="65" t="str">
        <f t="shared" si="0"/>
        <v/>
      </c>
      <c r="B10" s="68" t="str">
        <f>Stoff!A10</f>
        <v>Krom (III)</v>
      </c>
      <c r="C10" s="67">
        <f t="shared" si="1"/>
        <v>0</v>
      </c>
      <c r="D10" s="55">
        <f t="shared" si="2"/>
        <v>0</v>
      </c>
      <c r="E10" s="55" t="e">
        <f t="shared" si="3"/>
        <v>#DIV/0!</v>
      </c>
      <c r="F10" s="66" t="e">
        <f t="shared" si="4"/>
        <v>#NUM!</v>
      </c>
      <c r="G10" s="56"/>
      <c r="H10" s="56"/>
      <c r="I10" s="56"/>
      <c r="J10" s="56"/>
      <c r="K10" s="56"/>
      <c r="L10" s="72"/>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70"/>
      <c r="EE10" s="70"/>
      <c r="EF10" s="70"/>
      <c r="EG10" s="70"/>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row>
    <row r="11" spans="1:247" x14ac:dyDescent="0.35">
      <c r="A11" s="65" t="str">
        <f t="shared" si="0"/>
        <v/>
      </c>
      <c r="B11" s="68" t="str">
        <f>Stoff!A11</f>
        <v>Krom (VI)</v>
      </c>
      <c r="C11" s="67">
        <f t="shared" si="1"/>
        <v>0</v>
      </c>
      <c r="D11" s="55">
        <f t="shared" si="2"/>
        <v>0</v>
      </c>
      <c r="E11" s="55" t="e">
        <f t="shared" si="3"/>
        <v>#DIV/0!</v>
      </c>
      <c r="F11" s="66" t="e">
        <f t="shared" si="4"/>
        <v>#NUM!</v>
      </c>
      <c r="G11" s="56"/>
      <c r="H11" s="56"/>
      <c r="I11" s="56"/>
      <c r="J11" s="56"/>
      <c r="K11" s="56"/>
      <c r="L11" s="72"/>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70"/>
      <c r="EE11" s="70"/>
      <c r="EF11" s="70"/>
      <c r="EG11" s="70"/>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row>
    <row r="12" spans="1:247" x14ac:dyDescent="0.35">
      <c r="A12" s="65" t="str">
        <f t="shared" si="0"/>
        <v/>
      </c>
      <c r="B12" s="68" t="str">
        <f>Stoff!A12</f>
        <v>Krom totalt (III + VI)</v>
      </c>
      <c r="C12" s="67">
        <f t="shared" si="1"/>
        <v>0</v>
      </c>
      <c r="D12" s="55">
        <f t="shared" si="2"/>
        <v>0</v>
      </c>
      <c r="E12" s="55" t="e">
        <f t="shared" si="3"/>
        <v>#DIV/0!</v>
      </c>
      <c r="F12" s="66" t="e">
        <f t="shared" si="4"/>
        <v>#NUM!</v>
      </c>
      <c r="G12" s="56"/>
      <c r="H12" s="56"/>
      <c r="I12" s="56"/>
      <c r="J12" s="56"/>
      <c r="K12" s="56"/>
      <c r="L12" s="56"/>
      <c r="M12" s="56"/>
      <c r="N12" s="56"/>
      <c r="O12" s="56"/>
      <c r="P12" s="56"/>
      <c r="Q12" s="56"/>
      <c r="R12" s="56"/>
      <c r="S12" s="56"/>
      <c r="T12" s="56"/>
      <c r="U12" s="56"/>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70"/>
      <c r="EE12" s="70"/>
      <c r="EF12" s="70"/>
      <c r="EG12" s="70"/>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row>
    <row r="13" spans="1:247" x14ac:dyDescent="0.35">
      <c r="A13" s="65" t="str">
        <f t="shared" si="0"/>
        <v/>
      </c>
      <c r="B13" s="68" t="str">
        <f>Stoff!A13</f>
        <v>Nikkel</v>
      </c>
      <c r="C13" s="67">
        <f t="shared" si="1"/>
        <v>0</v>
      </c>
      <c r="D13" s="55">
        <f t="shared" si="2"/>
        <v>0</v>
      </c>
      <c r="E13" s="55" t="e">
        <f t="shared" si="3"/>
        <v>#DIV/0!</v>
      </c>
      <c r="F13" s="66" t="e">
        <f t="shared" si="4"/>
        <v>#NUM!</v>
      </c>
      <c r="G13" s="56"/>
      <c r="H13" s="56"/>
      <c r="I13" s="56"/>
      <c r="J13" s="56"/>
      <c r="K13" s="56"/>
      <c r="L13" s="56"/>
      <c r="M13" s="56"/>
      <c r="N13" s="56"/>
      <c r="O13" s="56"/>
      <c r="P13" s="56"/>
      <c r="Q13" s="56"/>
      <c r="R13" s="56"/>
      <c r="S13" s="56"/>
      <c r="T13" s="56"/>
      <c r="U13" s="56"/>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70"/>
      <c r="EE13" s="70"/>
      <c r="EF13" s="70"/>
      <c r="EG13" s="70"/>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row>
    <row r="14" spans="1:247" x14ac:dyDescent="0.35">
      <c r="A14" s="65" t="str">
        <f t="shared" si="0"/>
        <v/>
      </c>
      <c r="B14" s="68" t="str">
        <f>Stoff!A14</f>
        <v>Cyanid fri</v>
      </c>
      <c r="C14" s="67">
        <f t="shared" si="1"/>
        <v>0</v>
      </c>
      <c r="D14" s="55">
        <f t="shared" si="2"/>
        <v>0</v>
      </c>
      <c r="E14" s="55" t="e">
        <f t="shared" si="3"/>
        <v>#DIV/0!</v>
      </c>
      <c r="F14" s="66" t="e">
        <f t="shared" si="4"/>
        <v>#NUM!</v>
      </c>
      <c r="G14" s="56"/>
      <c r="H14" s="56"/>
      <c r="I14" s="56"/>
      <c r="J14" s="56"/>
      <c r="K14" s="56"/>
      <c r="L14" s="56"/>
      <c r="M14" s="56"/>
      <c r="N14" s="56"/>
      <c r="O14" s="56"/>
      <c r="P14" s="56"/>
      <c r="Q14" s="56"/>
      <c r="R14" s="56"/>
      <c r="S14" s="56"/>
      <c r="T14" s="56"/>
      <c r="U14" s="56"/>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70"/>
      <c r="EE14" s="70"/>
      <c r="EF14" s="70"/>
      <c r="EG14" s="70"/>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row>
    <row r="15" spans="1:247" x14ac:dyDescent="0.35">
      <c r="A15" s="65" t="str">
        <f t="shared" si="0"/>
        <v/>
      </c>
      <c r="B15" s="68" t="str">
        <f>Stoff!A15</f>
        <v>PCB CAS1336-36-3</v>
      </c>
      <c r="C15" s="67">
        <f t="shared" si="1"/>
        <v>0</v>
      </c>
      <c r="D15" s="55">
        <f t="shared" si="2"/>
        <v>0</v>
      </c>
      <c r="E15" s="55" t="e">
        <f t="shared" si="3"/>
        <v>#DIV/0!</v>
      </c>
      <c r="F15" s="66" t="e">
        <f t="shared" si="4"/>
        <v>#NUM!</v>
      </c>
      <c r="G15" s="56"/>
      <c r="H15" s="56"/>
      <c r="I15" s="56"/>
      <c r="J15" s="56"/>
      <c r="K15" s="56"/>
      <c r="L15" s="56"/>
      <c r="M15" s="56"/>
      <c r="N15" s="56"/>
      <c r="O15" s="56"/>
      <c r="P15" s="56"/>
      <c r="Q15" s="56"/>
      <c r="R15" s="56"/>
      <c r="S15" s="56"/>
      <c r="T15" s="56"/>
      <c r="U15" s="56"/>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70"/>
      <c r="EE15" s="70"/>
      <c r="EF15" s="70"/>
      <c r="EG15" s="70"/>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row>
    <row r="16" spans="1:247" x14ac:dyDescent="0.35">
      <c r="A16" s="65" t="str">
        <f t="shared" si="0"/>
        <v/>
      </c>
      <c r="B16" s="68" t="str">
        <f>Stoff!A16</f>
        <v>Lindan</v>
      </c>
      <c r="C16" s="67">
        <f t="shared" si="1"/>
        <v>0</v>
      </c>
      <c r="D16" s="55">
        <f t="shared" si="2"/>
        <v>0</v>
      </c>
      <c r="E16" s="55" t="e">
        <f t="shared" si="3"/>
        <v>#DIV/0!</v>
      </c>
      <c r="F16" s="66" t="e">
        <f t="shared" si="4"/>
        <v>#NUM!</v>
      </c>
      <c r="G16" s="56"/>
      <c r="H16" s="56"/>
      <c r="I16" s="56"/>
      <c r="J16" s="56"/>
      <c r="K16" s="56"/>
      <c r="L16" s="56"/>
      <c r="M16" s="56"/>
      <c r="N16" s="56"/>
      <c r="O16" s="56"/>
      <c r="P16" s="56"/>
      <c r="Q16" s="56"/>
      <c r="R16" s="56"/>
      <c r="S16" s="56"/>
      <c r="T16" s="56"/>
      <c r="U16" s="56"/>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70"/>
      <c r="EE16" s="70"/>
      <c r="EF16" s="70"/>
      <c r="EG16" s="70"/>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row>
    <row r="17" spans="1:247" x14ac:dyDescent="0.35">
      <c r="A17" s="65" t="str">
        <f t="shared" si="0"/>
        <v/>
      </c>
      <c r="B17" s="68" t="str">
        <f>Stoff!A17</f>
        <v>DDT</v>
      </c>
      <c r="C17" s="67">
        <f t="shared" si="1"/>
        <v>0</v>
      </c>
      <c r="D17" s="55">
        <f t="shared" si="2"/>
        <v>0</v>
      </c>
      <c r="E17" s="55" t="e">
        <f t="shared" si="3"/>
        <v>#DIV/0!</v>
      </c>
      <c r="F17" s="66" t="e">
        <f t="shared" si="4"/>
        <v>#NUM!</v>
      </c>
      <c r="G17" s="56"/>
      <c r="H17" s="56"/>
      <c r="I17" s="56"/>
      <c r="J17" s="56"/>
      <c r="K17" s="56"/>
      <c r="L17" s="56"/>
      <c r="M17" s="56"/>
      <c r="N17" s="56"/>
      <c r="O17" s="56"/>
      <c r="P17" s="56"/>
      <c r="Q17" s="56"/>
      <c r="R17" s="56"/>
      <c r="S17" s="56"/>
      <c r="T17" s="56"/>
      <c r="U17" s="56"/>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70"/>
      <c r="EE17" s="70"/>
      <c r="EF17" s="70"/>
      <c r="EG17" s="70"/>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row>
    <row r="18" spans="1:247" x14ac:dyDescent="0.35">
      <c r="A18" s="65" t="str">
        <f t="shared" si="0"/>
        <v/>
      </c>
      <c r="B18" s="68" t="str">
        <f>Stoff!A18</f>
        <v>Monoklorbensen</v>
      </c>
      <c r="C18" s="67">
        <f t="shared" si="1"/>
        <v>0</v>
      </c>
      <c r="D18" s="55">
        <f t="shared" si="2"/>
        <v>0</v>
      </c>
      <c r="E18" s="55" t="e">
        <f t="shared" si="3"/>
        <v>#DIV/0!</v>
      </c>
      <c r="F18" s="66" t="e">
        <f t="shared" si="4"/>
        <v>#NUM!</v>
      </c>
      <c r="G18" s="56"/>
      <c r="H18" s="56"/>
      <c r="I18" s="56"/>
      <c r="J18" s="56"/>
      <c r="K18" s="56"/>
      <c r="L18" s="56"/>
      <c r="M18" s="56"/>
      <c r="N18" s="56"/>
      <c r="O18" s="56"/>
      <c r="P18" s="56"/>
      <c r="Q18" s="56"/>
      <c r="R18" s="56"/>
      <c r="S18" s="56"/>
      <c r="T18" s="56"/>
      <c r="U18" s="56"/>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70"/>
      <c r="EE18" s="70"/>
      <c r="EF18" s="70"/>
      <c r="EG18" s="70"/>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row>
    <row r="19" spans="1:247" x14ac:dyDescent="0.35">
      <c r="A19" s="65" t="str">
        <f t="shared" si="0"/>
        <v/>
      </c>
      <c r="B19" s="68" t="str">
        <f>Stoff!A19</f>
        <v>1,2-diklorbensen</v>
      </c>
      <c r="C19" s="67">
        <f t="shared" si="1"/>
        <v>0</v>
      </c>
      <c r="D19" s="55">
        <f t="shared" si="2"/>
        <v>0</v>
      </c>
      <c r="E19" s="55" t="e">
        <f t="shared" si="3"/>
        <v>#DIV/0!</v>
      </c>
      <c r="F19" s="66" t="e">
        <f t="shared" si="4"/>
        <v>#NUM!</v>
      </c>
      <c r="G19" s="56"/>
      <c r="H19" s="56"/>
      <c r="I19" s="56"/>
      <c r="J19" s="56"/>
      <c r="K19" s="56"/>
      <c r="L19" s="56"/>
      <c r="M19" s="56"/>
      <c r="N19" s="56"/>
      <c r="O19" s="56"/>
      <c r="P19" s="56"/>
      <c r="Q19" s="56"/>
      <c r="R19" s="56"/>
      <c r="S19" s="56"/>
      <c r="T19" s="56"/>
      <c r="U19" s="56"/>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70"/>
      <c r="EE19" s="70"/>
      <c r="EF19" s="70"/>
      <c r="EG19" s="70"/>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row>
    <row r="20" spans="1:247" x14ac:dyDescent="0.35">
      <c r="A20" s="65" t="str">
        <f t="shared" si="0"/>
        <v/>
      </c>
      <c r="B20" s="68" t="str">
        <f>Stoff!A20</f>
        <v>1,4-diklorbensen</v>
      </c>
      <c r="C20" s="67">
        <f t="shared" si="1"/>
        <v>0</v>
      </c>
      <c r="D20" s="55">
        <f t="shared" si="2"/>
        <v>0</v>
      </c>
      <c r="E20" s="55" t="e">
        <f t="shared" si="3"/>
        <v>#DIV/0!</v>
      </c>
      <c r="F20" s="66" t="e">
        <f t="shared" si="4"/>
        <v>#NUM!</v>
      </c>
      <c r="G20" s="56"/>
      <c r="H20" s="56"/>
      <c r="I20" s="56"/>
      <c r="J20" s="56"/>
      <c r="K20" s="56"/>
      <c r="L20" s="56"/>
      <c r="M20" s="56"/>
      <c r="N20" s="56"/>
      <c r="O20" s="56"/>
      <c r="P20" s="56"/>
      <c r="Q20" s="56"/>
      <c r="R20" s="56"/>
      <c r="S20" s="56"/>
      <c r="T20" s="56"/>
      <c r="U20" s="56"/>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70"/>
      <c r="EE20" s="70"/>
      <c r="EF20" s="70"/>
      <c r="EG20" s="70"/>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row>
    <row r="21" spans="1:247" x14ac:dyDescent="0.35">
      <c r="A21" s="65" t="str">
        <f t="shared" si="0"/>
        <v/>
      </c>
      <c r="B21" s="68" t="str">
        <f>Stoff!A21</f>
        <v>1,2,4-triklorbensen</v>
      </c>
      <c r="C21" s="67">
        <f t="shared" si="1"/>
        <v>0</v>
      </c>
      <c r="D21" s="55">
        <f t="shared" si="2"/>
        <v>0</v>
      </c>
      <c r="E21" s="55" t="e">
        <f t="shared" si="3"/>
        <v>#DIV/0!</v>
      </c>
      <c r="F21" s="66" t="e">
        <f t="shared" si="4"/>
        <v>#NUM!</v>
      </c>
      <c r="G21" s="56"/>
      <c r="H21" s="56"/>
      <c r="I21" s="56"/>
      <c r="J21" s="56"/>
      <c r="K21" s="56"/>
      <c r="L21" s="56"/>
      <c r="M21" s="56"/>
      <c r="N21" s="56"/>
      <c r="O21" s="56"/>
      <c r="P21" s="56"/>
      <c r="Q21" s="56"/>
      <c r="R21" s="56"/>
      <c r="S21" s="56"/>
      <c r="T21" s="56"/>
      <c r="U21" s="56"/>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70"/>
      <c r="EE21" s="70"/>
      <c r="EF21" s="70"/>
      <c r="EG21" s="70"/>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row>
    <row r="22" spans="1:247" x14ac:dyDescent="0.35">
      <c r="A22" s="65" t="str">
        <f t="shared" si="0"/>
        <v/>
      </c>
      <c r="B22" s="68" t="str">
        <f>Stoff!A22</f>
        <v>1,2,3-triklorbensen</v>
      </c>
      <c r="C22" s="67">
        <f t="shared" si="1"/>
        <v>0</v>
      </c>
      <c r="D22" s="55">
        <f t="shared" si="2"/>
        <v>0</v>
      </c>
      <c r="E22" s="55" t="e">
        <f t="shared" si="3"/>
        <v>#DIV/0!</v>
      </c>
      <c r="F22" s="66" t="e">
        <f t="shared" si="4"/>
        <v>#NUM!</v>
      </c>
      <c r="G22" s="56"/>
      <c r="H22" s="56"/>
      <c r="I22" s="56"/>
      <c r="J22" s="56"/>
      <c r="K22" s="56"/>
      <c r="L22" s="72"/>
      <c r="M22" s="56"/>
      <c r="N22" s="56"/>
      <c r="O22" s="56"/>
      <c r="P22" s="56"/>
      <c r="Q22" s="56"/>
      <c r="R22" s="56"/>
      <c r="S22" s="56"/>
      <c r="T22" s="56"/>
      <c r="U22" s="56"/>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70"/>
      <c r="EE22" s="70"/>
      <c r="EF22" s="70"/>
      <c r="EG22" s="70"/>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row>
    <row r="23" spans="1:247" x14ac:dyDescent="0.35">
      <c r="A23" s="65" t="str">
        <f t="shared" si="0"/>
        <v/>
      </c>
      <c r="B23" s="68" t="str">
        <f>Stoff!A23</f>
        <v>1,3,5-triklorbensen</v>
      </c>
      <c r="C23" s="67">
        <f t="shared" si="1"/>
        <v>0</v>
      </c>
      <c r="D23" s="55">
        <f t="shared" si="2"/>
        <v>0</v>
      </c>
      <c r="E23" s="55" t="e">
        <f t="shared" si="3"/>
        <v>#DIV/0!</v>
      </c>
      <c r="F23" s="66" t="e">
        <f t="shared" si="4"/>
        <v>#NUM!</v>
      </c>
      <c r="G23" s="56"/>
      <c r="H23" s="56"/>
      <c r="I23" s="56"/>
      <c r="J23" s="56"/>
      <c r="K23" s="56"/>
      <c r="L23" s="72"/>
      <c r="M23" s="56"/>
      <c r="N23" s="56"/>
      <c r="O23" s="56"/>
      <c r="P23" s="56"/>
      <c r="Q23" s="56"/>
      <c r="R23" s="56"/>
      <c r="S23" s="56"/>
      <c r="T23" s="56"/>
      <c r="U23" s="56"/>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70"/>
      <c r="EE23" s="70"/>
      <c r="EF23" s="70"/>
      <c r="EG23" s="70"/>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row>
    <row r="24" spans="1:247" x14ac:dyDescent="0.35">
      <c r="A24" s="65" t="str">
        <f t="shared" si="0"/>
        <v/>
      </c>
      <c r="B24" s="68" t="str">
        <f>Stoff!A24</f>
        <v>1,2,4,5-tetraklorbensen</v>
      </c>
      <c r="C24" s="67">
        <f t="shared" si="1"/>
        <v>0</v>
      </c>
      <c r="D24" s="55">
        <f t="shared" si="2"/>
        <v>0</v>
      </c>
      <c r="E24" s="55" t="e">
        <f t="shared" si="3"/>
        <v>#DIV/0!</v>
      </c>
      <c r="F24" s="66" t="e">
        <f t="shared" si="4"/>
        <v>#NUM!</v>
      </c>
      <c r="G24" s="56"/>
      <c r="H24" s="56"/>
      <c r="I24" s="56"/>
      <c r="J24" s="56"/>
      <c r="K24" s="56"/>
      <c r="L24" s="72"/>
      <c r="M24" s="56"/>
      <c r="N24" s="56"/>
      <c r="O24" s="56"/>
      <c r="P24" s="56"/>
      <c r="Q24" s="56"/>
      <c r="R24" s="56"/>
      <c r="S24" s="56"/>
      <c r="T24" s="56"/>
      <c r="U24" s="56"/>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70"/>
      <c r="EE24" s="70"/>
      <c r="EF24" s="70"/>
      <c r="EG24" s="70"/>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row>
    <row r="25" spans="1:247" x14ac:dyDescent="0.35">
      <c r="A25" s="65" t="str">
        <f t="shared" si="0"/>
        <v/>
      </c>
      <c r="B25" s="68" t="str">
        <f>Stoff!A25</f>
        <v>Pentaklorbensen</v>
      </c>
      <c r="C25" s="67">
        <f t="shared" si="1"/>
        <v>0</v>
      </c>
      <c r="D25" s="55">
        <f t="shared" si="2"/>
        <v>0</v>
      </c>
      <c r="E25" s="55" t="e">
        <f t="shared" si="3"/>
        <v>#DIV/0!</v>
      </c>
      <c r="F25" s="66" t="e">
        <f t="shared" si="4"/>
        <v>#NUM!</v>
      </c>
      <c r="G25" s="56"/>
      <c r="H25" s="56"/>
      <c r="I25" s="56"/>
      <c r="J25" s="56"/>
      <c r="K25" s="56"/>
      <c r="L25" s="72"/>
      <c r="M25" s="56"/>
      <c r="N25" s="56"/>
      <c r="O25" s="56"/>
      <c r="P25" s="56"/>
      <c r="Q25" s="56"/>
      <c r="R25" s="56"/>
      <c r="S25" s="56"/>
      <c r="T25" s="56"/>
      <c r="U25" s="56"/>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70"/>
      <c r="EE25" s="70"/>
      <c r="EF25" s="70"/>
      <c r="EG25" s="70"/>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row>
    <row r="26" spans="1:247" x14ac:dyDescent="0.35">
      <c r="A26" s="65" t="str">
        <f t="shared" si="0"/>
        <v/>
      </c>
      <c r="B26" s="68" t="str">
        <f>Stoff!A26</f>
        <v>Heksaklorbensen</v>
      </c>
      <c r="C26" s="67">
        <f t="shared" si="1"/>
        <v>0</v>
      </c>
      <c r="D26" s="55">
        <f t="shared" si="2"/>
        <v>0</v>
      </c>
      <c r="E26" s="55" t="e">
        <f t="shared" si="3"/>
        <v>#DIV/0!</v>
      </c>
      <c r="F26" s="66" t="e">
        <f t="shared" si="4"/>
        <v>#NUM!</v>
      </c>
      <c r="G26" s="56"/>
      <c r="H26" s="56"/>
      <c r="I26" s="56"/>
      <c r="J26" s="56"/>
      <c r="K26" s="56"/>
      <c r="L26" s="72"/>
      <c r="M26" s="56"/>
      <c r="N26" s="56"/>
      <c r="O26" s="56"/>
      <c r="P26" s="56"/>
      <c r="Q26" s="56"/>
      <c r="R26" s="56"/>
      <c r="S26" s="56"/>
      <c r="T26" s="56"/>
      <c r="U26" s="56"/>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70"/>
      <c r="EE26" s="70"/>
      <c r="EF26" s="70"/>
      <c r="EG26" s="70"/>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row>
    <row r="27" spans="1:247" x14ac:dyDescent="0.35">
      <c r="A27" s="65" t="str">
        <f t="shared" si="0"/>
        <v/>
      </c>
      <c r="B27" s="68" t="str">
        <f>Stoff!A27</f>
        <v>Diklormetan</v>
      </c>
      <c r="C27" s="67">
        <f t="shared" si="1"/>
        <v>0</v>
      </c>
      <c r="D27" s="55">
        <f t="shared" si="2"/>
        <v>0</v>
      </c>
      <c r="E27" s="55" t="e">
        <f t="shared" si="3"/>
        <v>#DIV/0!</v>
      </c>
      <c r="F27" s="66" t="e">
        <f t="shared" si="4"/>
        <v>#NUM!</v>
      </c>
      <c r="G27" s="56"/>
      <c r="H27" s="56"/>
      <c r="I27" s="56"/>
      <c r="J27" s="56"/>
      <c r="K27" s="56"/>
      <c r="L27" s="72"/>
      <c r="M27" s="56"/>
      <c r="N27" s="56"/>
      <c r="O27" s="56"/>
      <c r="P27" s="56"/>
      <c r="Q27" s="56"/>
      <c r="R27" s="56"/>
      <c r="S27" s="56"/>
      <c r="T27" s="56"/>
      <c r="U27" s="56"/>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70"/>
      <c r="EE27" s="70"/>
      <c r="EF27" s="70"/>
      <c r="EG27" s="70"/>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row>
    <row r="28" spans="1:247" x14ac:dyDescent="0.35">
      <c r="A28" s="65" t="str">
        <f t="shared" si="0"/>
        <v/>
      </c>
      <c r="B28" s="68" t="str">
        <f>Stoff!A28</f>
        <v>Triklormetan</v>
      </c>
      <c r="C28" s="67">
        <f t="shared" si="1"/>
        <v>0</v>
      </c>
      <c r="D28" s="55">
        <f t="shared" si="2"/>
        <v>0</v>
      </c>
      <c r="E28" s="55" t="e">
        <f t="shared" si="3"/>
        <v>#DIV/0!</v>
      </c>
      <c r="F28" s="66" t="e">
        <f t="shared" si="4"/>
        <v>#NUM!</v>
      </c>
      <c r="G28" s="56"/>
      <c r="H28" s="56"/>
      <c r="I28" s="56"/>
      <c r="J28" s="56"/>
      <c r="K28" s="56"/>
      <c r="L28" s="72"/>
      <c r="M28" s="56"/>
      <c r="N28" s="56"/>
      <c r="O28" s="56"/>
      <c r="P28" s="56"/>
      <c r="Q28" s="56"/>
      <c r="R28" s="56"/>
      <c r="S28" s="56"/>
      <c r="T28" s="56"/>
      <c r="U28" s="56"/>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70"/>
      <c r="EE28" s="70"/>
      <c r="EF28" s="70"/>
      <c r="EG28" s="70"/>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row>
    <row r="29" spans="1:247" x14ac:dyDescent="0.35">
      <c r="A29" s="65" t="str">
        <f t="shared" si="0"/>
        <v/>
      </c>
      <c r="B29" s="68" t="str">
        <f>Stoff!A29</f>
        <v>Trikloreten</v>
      </c>
      <c r="C29" s="67">
        <f t="shared" si="1"/>
        <v>0</v>
      </c>
      <c r="D29" s="55">
        <f t="shared" si="2"/>
        <v>0</v>
      </c>
      <c r="E29" s="55" t="e">
        <f t="shared" si="3"/>
        <v>#DIV/0!</v>
      </c>
      <c r="F29" s="66" t="e">
        <f t="shared" si="4"/>
        <v>#NUM!</v>
      </c>
      <c r="G29" s="56"/>
      <c r="H29" s="56"/>
      <c r="I29" s="56"/>
      <c r="J29" s="56"/>
      <c r="K29" s="56"/>
      <c r="L29" s="56"/>
      <c r="M29" s="56"/>
      <c r="N29" s="56"/>
      <c r="O29" s="56"/>
      <c r="P29" s="56"/>
      <c r="Q29" s="56"/>
      <c r="R29" s="56"/>
      <c r="S29" s="56"/>
      <c r="T29" s="56"/>
      <c r="U29" s="56"/>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70"/>
      <c r="EE29" s="70"/>
      <c r="EF29" s="70"/>
      <c r="EG29" s="70"/>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row>
    <row r="30" spans="1:247" x14ac:dyDescent="0.35">
      <c r="A30" s="65" t="str">
        <f t="shared" si="0"/>
        <v/>
      </c>
      <c r="B30" s="68" t="str">
        <f>Stoff!A30</f>
        <v>Tetraklormetan</v>
      </c>
      <c r="C30" s="67">
        <f t="shared" si="1"/>
        <v>0</v>
      </c>
      <c r="D30" s="55">
        <f t="shared" si="2"/>
        <v>0</v>
      </c>
      <c r="E30" s="55" t="e">
        <f t="shared" si="3"/>
        <v>#DIV/0!</v>
      </c>
      <c r="F30" s="66" t="e">
        <f t="shared" si="4"/>
        <v>#NUM!</v>
      </c>
      <c r="G30" s="56"/>
      <c r="H30" s="56"/>
      <c r="I30" s="56"/>
      <c r="J30" s="56"/>
      <c r="K30" s="56"/>
      <c r="L30" s="71"/>
      <c r="M30" s="71"/>
      <c r="N30" s="71"/>
      <c r="O30" s="71"/>
      <c r="P30" s="56"/>
      <c r="Q30" s="56"/>
      <c r="R30" s="56"/>
      <c r="S30" s="56"/>
      <c r="T30" s="56"/>
      <c r="U30" s="56"/>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70"/>
      <c r="EE30" s="70"/>
      <c r="EF30" s="70"/>
      <c r="EG30" s="70"/>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row>
    <row r="31" spans="1:247" x14ac:dyDescent="0.35">
      <c r="A31" s="65" t="str">
        <f t="shared" si="0"/>
        <v/>
      </c>
      <c r="B31" s="68" t="str">
        <f>Stoff!A31</f>
        <v>Tetrakloreten</v>
      </c>
      <c r="C31" s="67">
        <f t="shared" si="1"/>
        <v>0</v>
      </c>
      <c r="D31" s="55">
        <f t="shared" si="2"/>
        <v>0</v>
      </c>
      <c r="E31" s="55" t="e">
        <f t="shared" si="3"/>
        <v>#DIV/0!</v>
      </c>
      <c r="F31" s="66" t="e">
        <f t="shared" si="4"/>
        <v>#NUM!</v>
      </c>
      <c r="G31" s="56"/>
      <c r="H31" s="56"/>
      <c r="I31" s="56"/>
      <c r="J31" s="56"/>
      <c r="K31" s="56"/>
      <c r="L31" s="56"/>
      <c r="M31" s="56"/>
      <c r="N31" s="56"/>
      <c r="O31" s="56"/>
      <c r="P31" s="56"/>
      <c r="Q31" s="56"/>
      <c r="R31" s="56"/>
      <c r="S31" s="56"/>
      <c r="T31" s="56"/>
      <c r="U31" s="56"/>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70"/>
      <c r="EE31" s="70"/>
      <c r="EF31" s="70"/>
      <c r="EG31" s="70"/>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row>
    <row r="32" spans="1:247" x14ac:dyDescent="0.35">
      <c r="A32" s="65" t="str">
        <f t="shared" si="0"/>
        <v/>
      </c>
      <c r="B32" s="68" t="str">
        <f>Stoff!A32</f>
        <v>1,2-dikloretan</v>
      </c>
      <c r="C32" s="67">
        <f t="shared" si="1"/>
        <v>0</v>
      </c>
      <c r="D32" s="55">
        <f t="shared" si="2"/>
        <v>0</v>
      </c>
      <c r="E32" s="55" t="e">
        <f t="shared" si="3"/>
        <v>#DIV/0!</v>
      </c>
      <c r="F32" s="66" t="e">
        <f t="shared" si="4"/>
        <v>#NUM!</v>
      </c>
      <c r="G32" s="56"/>
      <c r="H32" s="56"/>
      <c r="I32" s="56"/>
      <c r="J32" s="56"/>
      <c r="K32" s="56"/>
      <c r="L32" s="56"/>
      <c r="M32" s="56"/>
      <c r="N32" s="56"/>
      <c r="O32" s="56"/>
      <c r="P32" s="56"/>
      <c r="Q32" s="56"/>
      <c r="R32" s="56"/>
      <c r="S32" s="56"/>
      <c r="T32" s="56"/>
      <c r="U32" s="56"/>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70"/>
      <c r="EE32" s="70"/>
      <c r="EF32" s="70"/>
      <c r="EG32" s="70"/>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row>
    <row r="33" spans="1:247" x14ac:dyDescent="0.35">
      <c r="A33" s="65" t="str">
        <f t="shared" si="0"/>
        <v/>
      </c>
      <c r="B33" s="68" t="str">
        <f>Stoff!A33</f>
        <v>1,2-dibrometan</v>
      </c>
      <c r="C33" s="67">
        <f t="shared" si="1"/>
        <v>0</v>
      </c>
      <c r="D33" s="55">
        <f t="shared" si="2"/>
        <v>0</v>
      </c>
      <c r="E33" s="55" t="e">
        <f t="shared" si="3"/>
        <v>#DIV/0!</v>
      </c>
      <c r="F33" s="66" t="e">
        <f t="shared" si="4"/>
        <v>#NUM!</v>
      </c>
      <c r="G33" s="56"/>
      <c r="H33" s="56"/>
      <c r="I33" s="56"/>
      <c r="J33" s="56"/>
      <c r="K33" s="56"/>
      <c r="L33" s="56"/>
      <c r="M33" s="56"/>
      <c r="N33" s="56"/>
      <c r="O33" s="56"/>
      <c r="P33" s="56"/>
      <c r="Q33" s="56"/>
      <c r="R33" s="56"/>
      <c r="S33" s="56"/>
      <c r="T33" s="56"/>
      <c r="U33" s="56"/>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70"/>
      <c r="EE33" s="70"/>
      <c r="EF33" s="70"/>
      <c r="EG33" s="70"/>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row>
    <row r="34" spans="1:247" x14ac:dyDescent="0.35">
      <c r="A34" s="65" t="str">
        <f t="shared" si="0"/>
        <v/>
      </c>
      <c r="B34" s="68" t="str">
        <f>Stoff!A34</f>
        <v>1,1,1-trikloretan</v>
      </c>
      <c r="C34" s="67">
        <f t="shared" si="1"/>
        <v>0</v>
      </c>
      <c r="D34" s="55">
        <f t="shared" si="2"/>
        <v>0</v>
      </c>
      <c r="E34" s="55" t="e">
        <f t="shared" si="3"/>
        <v>#DIV/0!</v>
      </c>
      <c r="F34" s="66" t="e">
        <f t="shared" si="4"/>
        <v>#NUM!</v>
      </c>
      <c r="G34" s="56"/>
      <c r="H34" s="56"/>
      <c r="I34" s="56"/>
      <c r="J34" s="56"/>
      <c r="K34" s="56"/>
      <c r="L34" s="56"/>
      <c r="M34" s="56"/>
      <c r="N34" s="56"/>
      <c r="O34" s="56"/>
      <c r="P34" s="56"/>
      <c r="Q34" s="56"/>
      <c r="R34" s="56"/>
      <c r="S34" s="56"/>
      <c r="T34" s="56"/>
      <c r="U34" s="56"/>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70"/>
      <c r="EE34" s="70"/>
      <c r="EF34" s="70"/>
      <c r="EG34" s="70"/>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row>
    <row r="35" spans="1:247" x14ac:dyDescent="0.35">
      <c r="A35" s="65" t="str">
        <f t="shared" si="0"/>
        <v/>
      </c>
      <c r="B35" s="68" t="str">
        <f>Stoff!A35</f>
        <v>1,1,2-trikloretan</v>
      </c>
      <c r="C35" s="67">
        <f t="shared" si="1"/>
        <v>0</v>
      </c>
      <c r="D35" s="55">
        <f t="shared" si="2"/>
        <v>0</v>
      </c>
      <c r="E35" s="55" t="e">
        <f t="shared" si="3"/>
        <v>#DIV/0!</v>
      </c>
      <c r="F35" s="66" t="e">
        <f t="shared" si="4"/>
        <v>#NUM!</v>
      </c>
      <c r="G35" s="56"/>
      <c r="H35" s="56"/>
      <c r="I35" s="56"/>
      <c r="J35" s="56"/>
      <c r="K35" s="56"/>
      <c r="L35" s="56"/>
      <c r="M35" s="56"/>
      <c r="N35" s="56"/>
      <c r="O35" s="56"/>
      <c r="P35" s="56"/>
      <c r="Q35" s="56"/>
      <c r="R35" s="56"/>
      <c r="S35" s="56"/>
      <c r="T35" s="56"/>
      <c r="U35" s="56"/>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70"/>
      <c r="EE35" s="70"/>
      <c r="EF35" s="70"/>
      <c r="EG35" s="70"/>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row>
    <row r="36" spans="1:247" x14ac:dyDescent="0.35">
      <c r="A36" s="65" t="str">
        <f t="shared" si="0"/>
        <v/>
      </c>
      <c r="B36" s="68" t="str">
        <f>Stoff!A36</f>
        <v>Fenol</v>
      </c>
      <c r="C36" s="67">
        <f t="shared" si="1"/>
        <v>0</v>
      </c>
      <c r="D36" s="55">
        <f t="shared" si="2"/>
        <v>0</v>
      </c>
      <c r="E36" s="55" t="e">
        <f t="shared" si="3"/>
        <v>#DIV/0!</v>
      </c>
      <c r="F36" s="66" t="e">
        <f t="shared" si="4"/>
        <v>#NUM!</v>
      </c>
      <c r="G36" s="56"/>
      <c r="H36" s="56"/>
      <c r="I36" s="56"/>
      <c r="J36" s="56"/>
      <c r="K36" s="56"/>
      <c r="L36" s="56"/>
      <c r="M36" s="56"/>
      <c r="N36" s="56"/>
      <c r="O36" s="56"/>
      <c r="P36" s="56"/>
      <c r="Q36" s="56"/>
      <c r="R36" s="56"/>
      <c r="S36" s="56"/>
      <c r="T36" s="56"/>
      <c r="U36" s="56"/>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70"/>
      <c r="EE36" s="70"/>
      <c r="EF36" s="70"/>
      <c r="EG36" s="70"/>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row>
    <row r="37" spans="1:247" x14ac:dyDescent="0.35">
      <c r="A37" s="65" t="str">
        <f t="shared" si="0"/>
        <v/>
      </c>
      <c r="B37" s="68" t="str">
        <f>Stoff!A37</f>
        <v>Sum mono,di,tri,tetra</v>
      </c>
      <c r="C37" s="67">
        <f t="shared" si="1"/>
        <v>0</v>
      </c>
      <c r="D37" s="55">
        <f t="shared" si="2"/>
        <v>0</v>
      </c>
      <c r="E37" s="55" t="e">
        <f t="shared" si="3"/>
        <v>#DIV/0!</v>
      </c>
      <c r="F37" s="66" t="e">
        <f t="shared" si="4"/>
        <v>#NUM!</v>
      </c>
      <c r="G37" s="56"/>
      <c r="H37" s="56"/>
      <c r="I37" s="56"/>
      <c r="J37" s="56"/>
      <c r="K37" s="56"/>
      <c r="L37" s="56"/>
      <c r="M37" s="56"/>
      <c r="N37" s="56"/>
      <c r="O37" s="56"/>
      <c r="P37" s="56"/>
      <c r="Q37" s="56"/>
      <c r="R37" s="56"/>
      <c r="S37" s="56"/>
      <c r="T37" s="56"/>
      <c r="U37" s="56"/>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row>
    <row r="38" spans="1:247" x14ac:dyDescent="0.35">
      <c r="A38" s="65" t="str">
        <f t="shared" si="0"/>
        <v/>
      </c>
      <c r="B38" s="68" t="str">
        <f>Stoff!A38</f>
        <v>Pentaklorfenol</v>
      </c>
      <c r="C38" s="67">
        <f t="shared" si="1"/>
        <v>0</v>
      </c>
      <c r="D38" s="55">
        <f t="shared" si="2"/>
        <v>0</v>
      </c>
      <c r="E38" s="55" t="e">
        <f t="shared" si="3"/>
        <v>#DIV/0!</v>
      </c>
      <c r="F38" s="66" t="e">
        <f t="shared" si="4"/>
        <v>#NUM!</v>
      </c>
      <c r="G38" s="56"/>
      <c r="H38" s="56"/>
      <c r="I38" s="56"/>
      <c r="J38" s="56"/>
      <c r="K38" s="56"/>
      <c r="L38" s="56"/>
      <c r="M38" s="56"/>
      <c r="N38" s="56"/>
      <c r="O38" s="56"/>
      <c r="P38" s="56"/>
      <c r="Q38" s="56"/>
      <c r="R38" s="56"/>
      <c r="S38" s="56"/>
      <c r="T38" s="56"/>
      <c r="U38" s="56"/>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69"/>
      <c r="EI38" s="69"/>
      <c r="EJ38" s="69"/>
      <c r="EK38" s="69"/>
      <c r="EL38" s="69"/>
      <c r="EM38" s="69"/>
      <c r="EN38" s="69"/>
      <c r="EO38" s="69"/>
      <c r="EP38" s="69"/>
      <c r="EQ38" s="69"/>
      <c r="ER38" s="69"/>
      <c r="ES38" s="69"/>
      <c r="ET38" s="69"/>
      <c r="EU38" s="69"/>
      <c r="EV38" s="69"/>
      <c r="EW38" s="69"/>
      <c r="EX38" s="69"/>
      <c r="EY38" s="69"/>
      <c r="EZ38" s="69"/>
      <c r="FA38" s="69"/>
    </row>
    <row r="39" spans="1:247" x14ac:dyDescent="0.35">
      <c r="A39" s="65" t="str">
        <f t="shared" si="0"/>
        <v/>
      </c>
      <c r="B39" s="68" t="str">
        <f>Stoff!A39</f>
        <v>PAH totalt</v>
      </c>
      <c r="C39" s="67">
        <f t="shared" si="1"/>
        <v>0</v>
      </c>
      <c r="D39" s="55">
        <f t="shared" si="2"/>
        <v>0</v>
      </c>
      <c r="E39" s="55" t="e">
        <f t="shared" si="3"/>
        <v>#DIV/0!</v>
      </c>
      <c r="F39" s="66" t="e">
        <f t="shared" si="4"/>
        <v>#NUM!</v>
      </c>
      <c r="G39" s="56"/>
      <c r="H39" s="56"/>
      <c r="I39" s="56"/>
      <c r="J39" s="56"/>
      <c r="K39" s="56"/>
      <c r="L39" s="56"/>
      <c r="M39" s="56"/>
      <c r="N39" s="56"/>
      <c r="O39" s="56"/>
      <c r="P39" s="56"/>
      <c r="Q39" s="56"/>
      <c r="R39" s="56"/>
      <c r="S39" s="56"/>
      <c r="T39" s="56"/>
      <c r="U39" s="56"/>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69"/>
      <c r="EI39" s="69"/>
      <c r="EJ39" s="69"/>
      <c r="EK39" s="69"/>
      <c r="EL39" s="69"/>
      <c r="EM39" s="69"/>
      <c r="EN39" s="69"/>
      <c r="EO39" s="69"/>
      <c r="EP39" s="69"/>
      <c r="EQ39" s="69"/>
      <c r="ER39" s="69"/>
      <c r="ES39" s="69"/>
      <c r="ET39" s="69"/>
      <c r="EU39" s="69"/>
      <c r="EV39" s="69"/>
      <c r="EW39" s="69"/>
      <c r="EX39" s="69"/>
      <c r="EY39" s="69"/>
      <c r="EZ39" s="69"/>
      <c r="FA39" s="69"/>
    </row>
    <row r="40" spans="1:247" x14ac:dyDescent="0.35">
      <c r="A40" s="65" t="str">
        <f t="shared" si="0"/>
        <v/>
      </c>
      <c r="B40" s="68" t="str">
        <f>Stoff!A40</f>
        <v>Naftalen</v>
      </c>
      <c r="C40" s="67">
        <f t="shared" si="1"/>
        <v>0</v>
      </c>
      <c r="D40" s="55">
        <f t="shared" si="2"/>
        <v>0</v>
      </c>
      <c r="E40" s="55" t="e">
        <f t="shared" si="3"/>
        <v>#DIV/0!</v>
      </c>
      <c r="F40" s="66" t="e">
        <f t="shared" si="4"/>
        <v>#NUM!</v>
      </c>
      <c r="G40" s="56"/>
      <c r="H40" s="56"/>
      <c r="I40" s="56"/>
      <c r="J40" s="56"/>
      <c r="K40" s="56"/>
      <c r="L40" s="56"/>
      <c r="M40" s="56"/>
      <c r="N40" s="56"/>
      <c r="O40" s="56"/>
      <c r="P40" s="56"/>
      <c r="Q40" s="56"/>
      <c r="R40" s="56"/>
      <c r="S40" s="56"/>
      <c r="T40" s="56"/>
      <c r="U40" s="56"/>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69"/>
      <c r="EI40" s="69"/>
      <c r="EJ40" s="69"/>
      <c r="EK40" s="69"/>
      <c r="EL40" s="69"/>
      <c r="EM40" s="69"/>
      <c r="EN40" s="69"/>
      <c r="EO40" s="69"/>
      <c r="EP40" s="69"/>
      <c r="EQ40" s="69"/>
      <c r="ER40" s="69"/>
      <c r="ES40" s="69"/>
      <c r="ET40" s="69"/>
      <c r="EU40" s="69"/>
      <c r="EV40" s="69"/>
      <c r="EW40" s="69"/>
      <c r="EX40" s="69"/>
      <c r="EY40" s="69"/>
      <c r="EZ40" s="69"/>
      <c r="FA40" s="69"/>
    </row>
    <row r="41" spans="1:247" x14ac:dyDescent="0.35">
      <c r="A41" s="65" t="str">
        <f t="shared" si="0"/>
        <v/>
      </c>
      <c r="B41" s="68" t="str">
        <f>Stoff!A41</f>
        <v>Acenaftalen</v>
      </c>
      <c r="C41" s="67">
        <f t="shared" si="1"/>
        <v>0</v>
      </c>
      <c r="D41" s="55">
        <f t="shared" si="2"/>
        <v>0</v>
      </c>
      <c r="E41" s="55" t="e">
        <f t="shared" si="3"/>
        <v>#DIV/0!</v>
      </c>
      <c r="F41" s="66" t="e">
        <f t="shared" si="4"/>
        <v>#NUM!</v>
      </c>
      <c r="G41" s="56"/>
      <c r="H41" s="56"/>
      <c r="I41" s="56"/>
      <c r="J41" s="56"/>
      <c r="K41" s="56"/>
      <c r="L41" s="56"/>
      <c r="M41" s="56"/>
      <c r="N41" s="56"/>
      <c r="O41" s="56"/>
      <c r="P41" s="56"/>
      <c r="Q41" s="56"/>
      <c r="R41" s="56"/>
      <c r="S41" s="56"/>
      <c r="T41" s="56"/>
      <c r="U41" s="56"/>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69"/>
      <c r="EI41" s="69"/>
      <c r="EJ41" s="69"/>
      <c r="EK41" s="69"/>
      <c r="EL41" s="69"/>
      <c r="EM41" s="69"/>
      <c r="EN41" s="69"/>
      <c r="EO41" s="69"/>
      <c r="EP41" s="69"/>
      <c r="EQ41" s="69"/>
      <c r="ER41" s="69"/>
      <c r="ES41" s="69"/>
      <c r="ET41" s="69"/>
      <c r="EU41" s="69"/>
      <c r="EV41" s="69"/>
      <c r="EW41" s="69"/>
      <c r="EX41" s="69"/>
      <c r="EY41" s="69"/>
      <c r="EZ41" s="69"/>
      <c r="FA41" s="69"/>
    </row>
    <row r="42" spans="1:247" x14ac:dyDescent="0.35">
      <c r="A42" s="65" t="str">
        <f t="shared" si="0"/>
        <v/>
      </c>
      <c r="B42" s="68" t="str">
        <f>Stoff!A42</f>
        <v>Acenaften</v>
      </c>
      <c r="C42" s="67">
        <f t="shared" si="1"/>
        <v>0</v>
      </c>
      <c r="D42" s="55">
        <f t="shared" si="2"/>
        <v>0</v>
      </c>
      <c r="E42" s="55" t="e">
        <f t="shared" si="3"/>
        <v>#DIV/0!</v>
      </c>
      <c r="F42" s="66" t="e">
        <f t="shared" si="4"/>
        <v>#NUM!</v>
      </c>
      <c r="G42" s="56"/>
      <c r="H42" s="56"/>
      <c r="I42" s="56"/>
      <c r="J42" s="56"/>
      <c r="K42" s="56"/>
      <c r="L42" s="56"/>
      <c r="M42" s="56"/>
      <c r="N42" s="56"/>
      <c r="O42" s="56"/>
      <c r="P42" s="56"/>
      <c r="Q42" s="56"/>
      <c r="R42" s="56"/>
      <c r="S42" s="56"/>
      <c r="T42" s="56"/>
      <c r="U42" s="56"/>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69"/>
      <c r="EI42" s="69"/>
      <c r="EJ42" s="69"/>
      <c r="EK42" s="69"/>
      <c r="EL42" s="69"/>
      <c r="EM42" s="69"/>
      <c r="EN42" s="69"/>
      <c r="EO42" s="69"/>
      <c r="EP42" s="69"/>
      <c r="EQ42" s="69"/>
      <c r="ER42" s="69"/>
      <c r="ES42" s="69"/>
      <c r="ET42" s="69"/>
      <c r="EU42" s="69"/>
      <c r="EV42" s="69"/>
      <c r="EW42" s="69"/>
      <c r="EX42" s="69"/>
      <c r="EY42" s="69"/>
      <c r="EZ42" s="69"/>
      <c r="FA42" s="69"/>
    </row>
    <row r="43" spans="1:247" x14ac:dyDescent="0.35">
      <c r="A43" s="65" t="str">
        <f t="shared" si="0"/>
        <v/>
      </c>
      <c r="B43" s="68" t="str">
        <f>Stoff!A43</f>
        <v>Fenantren</v>
      </c>
      <c r="C43" s="67">
        <f t="shared" si="1"/>
        <v>0</v>
      </c>
      <c r="D43" s="55">
        <f t="shared" si="2"/>
        <v>0</v>
      </c>
      <c r="E43" s="55" t="e">
        <f t="shared" si="3"/>
        <v>#DIV/0!</v>
      </c>
      <c r="F43" s="66" t="e">
        <f t="shared" si="4"/>
        <v>#NUM!</v>
      </c>
      <c r="G43" s="56"/>
      <c r="H43" s="56"/>
      <c r="I43" s="56"/>
      <c r="J43" s="56"/>
      <c r="K43" s="56"/>
      <c r="L43" s="56"/>
      <c r="M43" s="56"/>
      <c r="N43" s="56"/>
      <c r="O43" s="56"/>
      <c r="P43" s="56"/>
      <c r="Q43" s="56"/>
      <c r="R43" s="56"/>
      <c r="S43" s="56"/>
      <c r="T43" s="56"/>
      <c r="U43" s="56"/>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69"/>
      <c r="EI43" s="69"/>
      <c r="EJ43" s="69"/>
      <c r="EK43" s="69"/>
      <c r="EL43" s="69"/>
      <c r="EM43" s="69"/>
      <c r="EN43" s="69"/>
      <c r="EO43" s="69"/>
      <c r="EP43" s="69"/>
      <c r="EQ43" s="69"/>
      <c r="ER43" s="69"/>
      <c r="ES43" s="69"/>
      <c r="ET43" s="69"/>
      <c r="EU43" s="69"/>
      <c r="EV43" s="69"/>
      <c r="EW43" s="69"/>
      <c r="EX43" s="69"/>
      <c r="EY43" s="69"/>
      <c r="EZ43" s="69"/>
      <c r="FA43" s="69"/>
    </row>
    <row r="44" spans="1:247" x14ac:dyDescent="0.35">
      <c r="A44" s="65" t="str">
        <f t="shared" si="0"/>
        <v/>
      </c>
      <c r="B44" s="68" t="str">
        <f>Stoff!A44</f>
        <v>Antracen</v>
      </c>
      <c r="C44" s="67">
        <f t="shared" si="1"/>
        <v>0</v>
      </c>
      <c r="D44" s="55">
        <f t="shared" si="2"/>
        <v>0</v>
      </c>
      <c r="E44" s="55" t="e">
        <f t="shared" si="3"/>
        <v>#DIV/0!</v>
      </c>
      <c r="F44" s="66" t="e">
        <f t="shared" si="4"/>
        <v>#NUM!</v>
      </c>
      <c r="G44" s="56"/>
      <c r="H44" s="56"/>
      <c r="I44" s="56"/>
      <c r="J44" s="56"/>
      <c r="K44" s="56"/>
      <c r="L44" s="56"/>
      <c r="M44" s="56"/>
      <c r="N44" s="56"/>
      <c r="O44" s="56"/>
      <c r="P44" s="56"/>
      <c r="Q44" s="56"/>
      <c r="R44" s="56"/>
      <c r="S44" s="56"/>
      <c r="T44" s="56"/>
      <c r="U44" s="56"/>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69"/>
      <c r="EI44" s="69"/>
      <c r="EJ44" s="69"/>
      <c r="EK44" s="69"/>
      <c r="EL44" s="69"/>
      <c r="EM44" s="69"/>
      <c r="EN44" s="69"/>
      <c r="EO44" s="69"/>
      <c r="EP44" s="69"/>
      <c r="EQ44" s="69"/>
      <c r="ER44" s="69"/>
      <c r="ES44" s="69"/>
      <c r="ET44" s="69"/>
      <c r="EU44" s="69"/>
      <c r="EV44" s="69"/>
      <c r="EW44" s="69"/>
      <c r="EX44" s="69"/>
      <c r="EY44" s="69"/>
      <c r="EZ44" s="69"/>
      <c r="FA44" s="69"/>
    </row>
    <row r="45" spans="1:247" x14ac:dyDescent="0.35">
      <c r="A45" s="65" t="str">
        <f t="shared" si="0"/>
        <v/>
      </c>
      <c r="B45" s="68" t="str">
        <f>Stoff!A45</f>
        <v>Fluoren</v>
      </c>
      <c r="C45" s="67">
        <f t="shared" si="1"/>
        <v>0</v>
      </c>
      <c r="D45" s="55">
        <f t="shared" si="2"/>
        <v>0</v>
      </c>
      <c r="E45" s="55" t="e">
        <f t="shared" si="3"/>
        <v>#DIV/0!</v>
      </c>
      <c r="F45" s="66" t="e">
        <f t="shared" si="4"/>
        <v>#NUM!</v>
      </c>
      <c r="G45" s="56"/>
      <c r="H45" s="56"/>
      <c r="I45" s="56"/>
      <c r="J45" s="56"/>
      <c r="K45" s="56"/>
      <c r="L45" s="56"/>
      <c r="M45" s="56"/>
      <c r="N45" s="56"/>
      <c r="O45" s="56"/>
      <c r="P45" s="56"/>
      <c r="Q45" s="56"/>
      <c r="R45" s="56"/>
      <c r="S45" s="56"/>
      <c r="T45" s="56"/>
      <c r="U45" s="56"/>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69"/>
      <c r="EI45" s="69"/>
      <c r="EJ45" s="69"/>
      <c r="EK45" s="69"/>
      <c r="EL45" s="69"/>
      <c r="EM45" s="69"/>
      <c r="EN45" s="69"/>
      <c r="EO45" s="69"/>
      <c r="EP45" s="69"/>
      <c r="EQ45" s="69"/>
      <c r="ER45" s="69"/>
      <c r="ES45" s="69"/>
      <c r="ET45" s="69"/>
      <c r="EU45" s="69"/>
      <c r="EV45" s="69"/>
      <c r="EW45" s="69"/>
      <c r="EX45" s="69"/>
      <c r="EY45" s="69"/>
      <c r="EZ45" s="69"/>
      <c r="FA45" s="69"/>
    </row>
    <row r="46" spans="1:247" x14ac:dyDescent="0.35">
      <c r="A46" s="65" t="str">
        <f t="shared" si="0"/>
        <v/>
      </c>
      <c r="B46" s="68" t="str">
        <f>Stoff!A46</f>
        <v>Fluoranten</v>
      </c>
      <c r="C46" s="67">
        <f t="shared" si="1"/>
        <v>0</v>
      </c>
      <c r="D46" s="55">
        <f t="shared" si="2"/>
        <v>0</v>
      </c>
      <c r="E46" s="55" t="e">
        <f t="shared" si="3"/>
        <v>#DIV/0!</v>
      </c>
      <c r="F46" s="66" t="e">
        <f t="shared" si="4"/>
        <v>#NUM!</v>
      </c>
      <c r="G46" s="56"/>
      <c r="H46" s="56"/>
      <c r="I46" s="56"/>
      <c r="J46" s="56"/>
      <c r="K46" s="56"/>
      <c r="L46" s="56"/>
      <c r="M46" s="56"/>
      <c r="N46" s="56"/>
      <c r="O46" s="56"/>
      <c r="P46" s="56"/>
      <c r="Q46" s="56"/>
      <c r="R46" s="56"/>
      <c r="S46" s="56"/>
      <c r="T46" s="56"/>
      <c r="U46" s="56"/>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69"/>
      <c r="EI46" s="69"/>
      <c r="EJ46" s="69"/>
      <c r="EK46" s="69"/>
      <c r="EL46" s="69"/>
      <c r="EM46" s="69"/>
      <c r="EN46" s="69"/>
      <c r="EO46" s="69"/>
      <c r="EP46" s="69"/>
      <c r="EQ46" s="69"/>
      <c r="ER46" s="69"/>
      <c r="ES46" s="69"/>
      <c r="ET46" s="69"/>
      <c r="EU46" s="69"/>
      <c r="EV46" s="69"/>
      <c r="EW46" s="69"/>
      <c r="EX46" s="69"/>
      <c r="EY46" s="69"/>
      <c r="EZ46" s="69"/>
      <c r="FA46" s="69"/>
    </row>
    <row r="47" spans="1:247" x14ac:dyDescent="0.35">
      <c r="A47" s="65" t="str">
        <f t="shared" si="0"/>
        <v/>
      </c>
      <c r="B47" s="68" t="str">
        <f>Stoff!A47</f>
        <v>Pyrene</v>
      </c>
      <c r="C47" s="67">
        <f t="shared" si="1"/>
        <v>0</v>
      </c>
      <c r="D47" s="55">
        <f t="shared" si="2"/>
        <v>0</v>
      </c>
      <c r="E47" s="55" t="e">
        <f t="shared" si="3"/>
        <v>#DIV/0!</v>
      </c>
      <c r="F47" s="66" t="e">
        <f t="shared" si="4"/>
        <v>#NUM!</v>
      </c>
      <c r="G47" s="56"/>
      <c r="H47" s="56"/>
      <c r="I47" s="56"/>
      <c r="J47" s="56"/>
      <c r="K47" s="56"/>
      <c r="L47" s="56"/>
      <c r="M47" s="56"/>
      <c r="N47" s="56"/>
      <c r="O47" s="56"/>
      <c r="P47" s="56"/>
      <c r="Q47" s="56"/>
      <c r="R47" s="56"/>
      <c r="S47" s="56"/>
      <c r="T47" s="56"/>
      <c r="U47" s="56"/>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69"/>
      <c r="EI47" s="69"/>
      <c r="EJ47" s="69"/>
      <c r="EK47" s="69"/>
      <c r="EL47" s="69"/>
      <c r="EM47" s="69"/>
      <c r="EN47" s="69"/>
      <c r="EO47" s="69"/>
      <c r="EP47" s="69"/>
      <c r="EQ47" s="69"/>
      <c r="ER47" s="69"/>
      <c r="ES47" s="69"/>
      <c r="ET47" s="69"/>
      <c r="EU47" s="69"/>
      <c r="EV47" s="69"/>
      <c r="EW47" s="69"/>
      <c r="EX47" s="69"/>
      <c r="EY47" s="69"/>
      <c r="EZ47" s="69"/>
      <c r="FA47" s="69"/>
    </row>
    <row r="48" spans="1:247" x14ac:dyDescent="0.35">
      <c r="A48" s="65" t="str">
        <f t="shared" si="0"/>
        <v/>
      </c>
      <c r="B48" s="68" t="str">
        <f>Stoff!A48</f>
        <v>Benzo(a)antracen</v>
      </c>
      <c r="C48" s="67">
        <f t="shared" si="1"/>
        <v>0</v>
      </c>
      <c r="D48" s="55">
        <f t="shared" si="2"/>
        <v>0</v>
      </c>
      <c r="E48" s="55" t="e">
        <f t="shared" si="3"/>
        <v>#DIV/0!</v>
      </c>
      <c r="F48" s="66" t="e">
        <f t="shared" si="4"/>
        <v>#NUM!</v>
      </c>
      <c r="G48" s="56"/>
      <c r="H48" s="56"/>
      <c r="I48" s="56"/>
      <c r="J48" s="56"/>
      <c r="K48" s="56"/>
      <c r="L48" s="56"/>
      <c r="M48" s="56"/>
      <c r="N48" s="56"/>
      <c r="O48" s="56"/>
      <c r="P48" s="56"/>
      <c r="Q48" s="56"/>
      <c r="R48" s="56"/>
      <c r="S48" s="56"/>
      <c r="T48" s="56"/>
      <c r="U48" s="56"/>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69"/>
      <c r="EI48" s="69"/>
      <c r="EJ48" s="69"/>
      <c r="EK48" s="69"/>
      <c r="EL48" s="69"/>
      <c r="EM48" s="69"/>
      <c r="EN48" s="69"/>
      <c r="EO48" s="69"/>
      <c r="EP48" s="69"/>
      <c r="EQ48" s="69"/>
      <c r="ER48" s="69"/>
      <c r="ES48" s="69"/>
      <c r="ET48" s="69"/>
      <c r="EU48" s="69"/>
      <c r="EV48" s="69"/>
      <c r="EW48" s="69"/>
      <c r="EX48" s="69"/>
      <c r="EY48" s="69"/>
      <c r="EZ48" s="69"/>
      <c r="FA48" s="69"/>
    </row>
    <row r="49" spans="1:157" x14ac:dyDescent="0.35">
      <c r="A49" s="65" t="str">
        <f t="shared" si="0"/>
        <v/>
      </c>
      <c r="B49" s="68" t="str">
        <f>Stoff!A49</f>
        <v>Krysen</v>
      </c>
      <c r="C49" s="67">
        <f t="shared" si="1"/>
        <v>0</v>
      </c>
      <c r="D49" s="55">
        <f t="shared" si="2"/>
        <v>0</v>
      </c>
      <c r="E49" s="55" t="e">
        <f t="shared" si="3"/>
        <v>#DIV/0!</v>
      </c>
      <c r="F49" s="66" t="e">
        <f t="shared" si="4"/>
        <v>#NUM!</v>
      </c>
      <c r="G49" s="56"/>
      <c r="H49" s="56"/>
      <c r="I49" s="56"/>
      <c r="J49" s="56"/>
      <c r="K49" s="56"/>
      <c r="L49" s="56"/>
      <c r="M49" s="56"/>
      <c r="N49" s="56"/>
      <c r="O49" s="56"/>
      <c r="P49" s="56"/>
      <c r="Q49" s="56"/>
      <c r="R49" s="56"/>
      <c r="S49" s="56"/>
      <c r="T49" s="56"/>
      <c r="U49" s="56"/>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69"/>
      <c r="EI49" s="69"/>
      <c r="EJ49" s="69"/>
      <c r="EK49" s="69"/>
      <c r="EL49" s="69"/>
      <c r="EM49" s="69"/>
      <c r="EN49" s="69"/>
      <c r="EO49" s="69"/>
      <c r="EP49" s="69"/>
      <c r="EQ49" s="69"/>
      <c r="ER49" s="69"/>
      <c r="ES49" s="69"/>
      <c r="ET49" s="69"/>
      <c r="EU49" s="69"/>
      <c r="EV49" s="69"/>
      <c r="EW49" s="69"/>
      <c r="EX49" s="69"/>
      <c r="EY49" s="69"/>
      <c r="EZ49" s="69"/>
      <c r="FA49" s="69"/>
    </row>
    <row r="50" spans="1:157" x14ac:dyDescent="0.35">
      <c r="A50" s="65" t="str">
        <f t="shared" si="0"/>
        <v/>
      </c>
      <c r="B50" s="68" t="str">
        <f>Stoff!A50</f>
        <v>Benzo(b)fluoranten</v>
      </c>
      <c r="C50" s="67">
        <f t="shared" si="1"/>
        <v>0</v>
      </c>
      <c r="D50" s="55">
        <f t="shared" si="2"/>
        <v>0</v>
      </c>
      <c r="E50" s="55" t="e">
        <f t="shared" si="3"/>
        <v>#DIV/0!</v>
      </c>
      <c r="F50" s="66" t="e">
        <f t="shared" si="4"/>
        <v>#NUM!</v>
      </c>
      <c r="G50" s="56"/>
      <c r="H50" s="56"/>
      <c r="I50" s="56"/>
      <c r="J50" s="56"/>
      <c r="K50" s="56"/>
      <c r="L50" s="56"/>
      <c r="M50" s="56"/>
      <c r="N50" s="56"/>
      <c r="O50" s="56"/>
      <c r="P50" s="56"/>
      <c r="Q50" s="56"/>
      <c r="R50" s="56"/>
      <c r="S50" s="56"/>
      <c r="T50" s="56"/>
      <c r="U50" s="56"/>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69"/>
      <c r="EI50" s="69"/>
      <c r="EJ50" s="69"/>
      <c r="EK50" s="69"/>
      <c r="EL50" s="69"/>
      <c r="EM50" s="69"/>
      <c r="EN50" s="69"/>
      <c r="EO50" s="69"/>
      <c r="EP50" s="69"/>
      <c r="EQ50" s="69"/>
      <c r="ER50" s="69"/>
      <c r="ES50" s="69"/>
      <c r="ET50" s="69"/>
      <c r="EU50" s="69"/>
      <c r="EV50" s="69"/>
      <c r="EW50" s="69"/>
      <c r="EX50" s="69"/>
      <c r="EY50" s="69"/>
      <c r="EZ50" s="69"/>
      <c r="FA50" s="69"/>
    </row>
    <row r="51" spans="1:157" x14ac:dyDescent="0.35">
      <c r="A51" s="65" t="str">
        <f t="shared" si="0"/>
        <v/>
      </c>
      <c r="B51" s="68" t="str">
        <f>Stoff!A51</f>
        <v>Benzo(k)fluoranten</v>
      </c>
      <c r="C51" s="67">
        <f t="shared" si="1"/>
        <v>0</v>
      </c>
      <c r="D51" s="55">
        <f t="shared" si="2"/>
        <v>0</v>
      </c>
      <c r="E51" s="55" t="e">
        <f t="shared" si="3"/>
        <v>#DIV/0!</v>
      </c>
      <c r="F51" s="66" t="e">
        <f t="shared" si="4"/>
        <v>#NUM!</v>
      </c>
      <c r="G51" s="56"/>
      <c r="H51" s="56"/>
      <c r="I51" s="56"/>
      <c r="J51" s="56"/>
      <c r="K51" s="56"/>
      <c r="L51" s="56"/>
      <c r="M51" s="56"/>
      <c r="N51" s="56"/>
      <c r="O51" s="56"/>
      <c r="P51" s="56"/>
      <c r="Q51" s="56"/>
      <c r="R51" s="56"/>
      <c r="S51" s="56"/>
      <c r="T51" s="56"/>
      <c r="U51" s="56"/>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69"/>
      <c r="EI51" s="69"/>
      <c r="EJ51" s="69"/>
      <c r="EK51" s="69"/>
      <c r="EL51" s="69"/>
      <c r="EM51" s="69"/>
      <c r="EN51" s="69"/>
      <c r="EO51" s="69"/>
      <c r="EP51" s="69"/>
      <c r="EQ51" s="69"/>
      <c r="ER51" s="69"/>
      <c r="ES51" s="69"/>
      <c r="ET51" s="69"/>
      <c r="EU51" s="69"/>
      <c r="EV51" s="69"/>
      <c r="EW51" s="69"/>
      <c r="EX51" s="69"/>
      <c r="EY51" s="69"/>
      <c r="EZ51" s="69"/>
      <c r="FA51" s="69"/>
    </row>
    <row r="52" spans="1:157" x14ac:dyDescent="0.35">
      <c r="A52" s="65" t="str">
        <f t="shared" si="0"/>
        <v/>
      </c>
      <c r="B52" s="68" t="str">
        <f>Stoff!A52</f>
        <v>Benso(a)pyren</v>
      </c>
      <c r="C52" s="67">
        <f t="shared" si="1"/>
        <v>0</v>
      </c>
      <c r="D52" s="55">
        <f t="shared" si="2"/>
        <v>0</v>
      </c>
      <c r="E52" s="55" t="e">
        <f t="shared" si="3"/>
        <v>#DIV/0!</v>
      </c>
      <c r="F52" s="66" t="e">
        <f t="shared" si="4"/>
        <v>#NUM!</v>
      </c>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row>
    <row r="53" spans="1:157" x14ac:dyDescent="0.35">
      <c r="A53" s="65" t="str">
        <f t="shared" si="0"/>
        <v/>
      </c>
      <c r="B53" s="68" t="str">
        <f>Stoff!A53</f>
        <v>Indeno(1,2,3-cd)pyren</v>
      </c>
      <c r="C53" s="67">
        <f t="shared" si="1"/>
        <v>0</v>
      </c>
      <c r="D53" s="55">
        <f t="shared" si="2"/>
        <v>0</v>
      </c>
      <c r="E53" s="55" t="e">
        <f t="shared" si="3"/>
        <v>#DIV/0!</v>
      </c>
      <c r="F53" s="66" t="e">
        <f t="shared" si="4"/>
        <v>#NUM!</v>
      </c>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row>
    <row r="54" spans="1:157" x14ac:dyDescent="0.35">
      <c r="A54" s="65" t="str">
        <f t="shared" si="0"/>
        <v/>
      </c>
      <c r="B54" s="68" t="str">
        <f>Stoff!A54</f>
        <v>Dibenzo(a,h)antracen</v>
      </c>
      <c r="C54" s="67">
        <f t="shared" si="1"/>
        <v>0</v>
      </c>
      <c r="D54" s="55">
        <f t="shared" si="2"/>
        <v>0</v>
      </c>
      <c r="E54" s="55" t="e">
        <f t="shared" si="3"/>
        <v>#DIV/0!</v>
      </c>
      <c r="F54" s="66" t="e">
        <f t="shared" si="4"/>
        <v>#NUM!</v>
      </c>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row>
    <row r="55" spans="1:157" x14ac:dyDescent="0.35">
      <c r="A55" s="65" t="str">
        <f t="shared" si="0"/>
        <v/>
      </c>
      <c r="B55" s="68" t="str">
        <f>Stoff!A55</f>
        <v>Benzo(g,h,i)perylen</v>
      </c>
      <c r="C55" s="67">
        <f t="shared" si="1"/>
        <v>0</v>
      </c>
      <c r="D55" s="55">
        <f t="shared" si="2"/>
        <v>0</v>
      </c>
      <c r="E55" s="55" t="e">
        <f t="shared" si="3"/>
        <v>#DIV/0!</v>
      </c>
      <c r="F55" s="66" t="e">
        <f t="shared" si="4"/>
        <v>#NUM!</v>
      </c>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row>
    <row r="56" spans="1:157" x14ac:dyDescent="0.35">
      <c r="A56" s="65" t="str">
        <f t="shared" si="0"/>
        <v/>
      </c>
      <c r="B56" s="68" t="str">
        <f>Stoff!A56</f>
        <v>Bensen</v>
      </c>
      <c r="C56" s="67">
        <f t="shared" si="1"/>
        <v>0</v>
      </c>
      <c r="D56" s="55">
        <f t="shared" si="2"/>
        <v>0</v>
      </c>
      <c r="E56" s="55" t="e">
        <f t="shared" si="3"/>
        <v>#DIV/0!</v>
      </c>
      <c r="F56" s="66" t="e">
        <f t="shared" si="4"/>
        <v>#NUM!</v>
      </c>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row>
    <row r="57" spans="1:157" x14ac:dyDescent="0.35">
      <c r="A57" s="65" t="str">
        <f t="shared" si="0"/>
        <v/>
      </c>
      <c r="B57" s="68" t="str">
        <f>Stoff!A57</f>
        <v>Toluen</v>
      </c>
      <c r="C57" s="67">
        <f t="shared" si="1"/>
        <v>0</v>
      </c>
      <c r="D57" s="55">
        <f t="shared" si="2"/>
        <v>0</v>
      </c>
      <c r="E57" s="55" t="e">
        <f t="shared" si="3"/>
        <v>#DIV/0!</v>
      </c>
      <c r="F57" s="66" t="e">
        <f t="shared" si="4"/>
        <v>#NUM!</v>
      </c>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row>
    <row r="58" spans="1:157" x14ac:dyDescent="0.35">
      <c r="A58" s="65" t="str">
        <f t="shared" si="0"/>
        <v/>
      </c>
      <c r="B58" s="68" t="str">
        <f>Stoff!A58</f>
        <v>Etylbensen</v>
      </c>
      <c r="C58" s="67">
        <f t="shared" si="1"/>
        <v>0</v>
      </c>
      <c r="D58" s="55">
        <f t="shared" si="2"/>
        <v>0</v>
      </c>
      <c r="E58" s="55" t="e">
        <f t="shared" si="3"/>
        <v>#DIV/0!</v>
      </c>
      <c r="F58" s="66" t="e">
        <f t="shared" si="4"/>
        <v>#NUM!</v>
      </c>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row>
    <row r="59" spans="1:157" x14ac:dyDescent="0.35">
      <c r="A59" s="65" t="str">
        <f t="shared" si="0"/>
        <v/>
      </c>
      <c r="B59" s="68" t="str">
        <f>Stoff!A59</f>
        <v>Xylen</v>
      </c>
      <c r="C59" s="67">
        <f t="shared" si="1"/>
        <v>0</v>
      </c>
      <c r="D59" s="55">
        <f t="shared" si="2"/>
        <v>0</v>
      </c>
      <c r="E59" s="55" t="e">
        <f t="shared" si="3"/>
        <v>#DIV/0!</v>
      </c>
      <c r="F59" s="66" t="e">
        <f t="shared" si="4"/>
        <v>#NUM!</v>
      </c>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row>
    <row r="60" spans="1:157" x14ac:dyDescent="0.35">
      <c r="A60" s="65" t="str">
        <f t="shared" si="0"/>
        <v/>
      </c>
      <c r="B60" s="68" t="str">
        <f>Stoff!A60</f>
        <v>Alifater  C5-C6</v>
      </c>
      <c r="C60" s="67">
        <f t="shared" si="1"/>
        <v>0</v>
      </c>
      <c r="D60" s="55">
        <f t="shared" si="2"/>
        <v>0</v>
      </c>
      <c r="E60" s="55" t="e">
        <f t="shared" si="3"/>
        <v>#DIV/0!</v>
      </c>
      <c r="F60" s="66" t="e">
        <f t="shared" si="4"/>
        <v>#NUM!</v>
      </c>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row>
    <row r="61" spans="1:157" x14ac:dyDescent="0.35">
      <c r="A61" s="65" t="str">
        <f t="shared" si="0"/>
        <v/>
      </c>
      <c r="B61" s="68" t="str">
        <f>Stoff!A61</f>
        <v>Alifater &gt; C6-C8</v>
      </c>
      <c r="C61" s="67">
        <f t="shared" si="1"/>
        <v>0</v>
      </c>
      <c r="D61" s="55">
        <f t="shared" si="2"/>
        <v>0</v>
      </c>
      <c r="E61" s="55" t="e">
        <f t="shared" si="3"/>
        <v>#DIV/0!</v>
      </c>
      <c r="F61" s="66" t="e">
        <f t="shared" si="4"/>
        <v>#NUM!</v>
      </c>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row>
    <row r="62" spans="1:157" x14ac:dyDescent="0.35">
      <c r="A62" s="65" t="str">
        <f t="shared" si="0"/>
        <v/>
      </c>
      <c r="B62" s="68" t="str">
        <f>Stoff!A62</f>
        <v>Alifater &gt; C8-C10</v>
      </c>
      <c r="C62" s="67">
        <f t="shared" si="1"/>
        <v>0</v>
      </c>
      <c r="D62" s="55">
        <f t="shared" si="2"/>
        <v>0</v>
      </c>
      <c r="E62" s="55" t="e">
        <f t="shared" si="3"/>
        <v>#DIV/0!</v>
      </c>
      <c r="F62" s="66" t="e">
        <f t="shared" si="4"/>
        <v>#NUM!</v>
      </c>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row>
    <row r="63" spans="1:157" x14ac:dyDescent="0.35">
      <c r="A63" s="65" t="str">
        <f t="shared" si="0"/>
        <v/>
      </c>
      <c r="B63" s="68" t="str">
        <f>Stoff!A63</f>
        <v>Sum alifater &gt; C5-C10</v>
      </c>
      <c r="C63" s="67">
        <f t="shared" si="1"/>
        <v>0</v>
      </c>
      <c r="D63" s="55">
        <f t="shared" si="2"/>
        <v>0</v>
      </c>
      <c r="E63" s="55" t="e">
        <f t="shared" si="3"/>
        <v>#DIV/0!</v>
      </c>
      <c r="F63" s="66" t="e">
        <f t="shared" si="4"/>
        <v>#NUM!</v>
      </c>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c r="EO63" s="56"/>
      <c r="EP63" s="56"/>
      <c r="EQ63" s="56"/>
      <c r="ER63" s="56"/>
      <c r="ES63" s="56"/>
      <c r="ET63" s="56"/>
      <c r="EU63" s="56"/>
      <c r="EV63" s="56"/>
      <c r="EW63" s="56"/>
      <c r="EX63" s="56"/>
      <c r="EY63" s="56"/>
      <c r="EZ63" s="56"/>
      <c r="FA63" s="56"/>
    </row>
    <row r="64" spans="1:157" x14ac:dyDescent="0.35">
      <c r="A64" s="65" t="str">
        <f t="shared" si="0"/>
        <v/>
      </c>
      <c r="B64" s="68" t="str">
        <f>Stoff!A64</f>
        <v>Alifater &gt;C10-C12</v>
      </c>
      <c r="C64" s="67">
        <f t="shared" si="1"/>
        <v>0</v>
      </c>
      <c r="D64" s="55">
        <f t="shared" si="2"/>
        <v>0</v>
      </c>
      <c r="E64" s="55" t="e">
        <f t="shared" si="3"/>
        <v>#DIV/0!</v>
      </c>
      <c r="F64" s="66" t="e">
        <f t="shared" si="4"/>
        <v>#NUM!</v>
      </c>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c r="ER64" s="56"/>
      <c r="ES64" s="56"/>
      <c r="ET64" s="56"/>
      <c r="EU64" s="56"/>
      <c r="EV64" s="56"/>
      <c r="EW64" s="56"/>
      <c r="EX64" s="56"/>
      <c r="EY64" s="56"/>
      <c r="EZ64" s="56"/>
      <c r="FA64" s="56"/>
    </row>
    <row r="65" spans="1:157" x14ac:dyDescent="0.35">
      <c r="A65" s="65" t="str">
        <f t="shared" si="0"/>
        <v/>
      </c>
      <c r="B65" s="68" t="str">
        <f>Stoff!A65</f>
        <v>Alifater &gt;C12-C35</v>
      </c>
      <c r="C65" s="67">
        <f t="shared" si="1"/>
        <v>0</v>
      </c>
      <c r="D65" s="55">
        <f t="shared" si="2"/>
        <v>0</v>
      </c>
      <c r="E65" s="55" t="e">
        <f t="shared" si="3"/>
        <v>#DIV/0!</v>
      </c>
      <c r="F65" s="66" t="e">
        <f t="shared" si="4"/>
        <v>#NUM!</v>
      </c>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c r="EO65" s="56"/>
      <c r="EP65" s="56"/>
      <c r="EQ65" s="56"/>
      <c r="ER65" s="56"/>
      <c r="ES65" s="56"/>
      <c r="ET65" s="56"/>
      <c r="EU65" s="56"/>
      <c r="EV65" s="56"/>
      <c r="EW65" s="56"/>
      <c r="EX65" s="56"/>
      <c r="EY65" s="56"/>
      <c r="EZ65" s="56"/>
      <c r="FA65" s="56"/>
    </row>
    <row r="66" spans="1:157" x14ac:dyDescent="0.35">
      <c r="A66" s="65" t="str">
        <f t="shared" si="0"/>
        <v/>
      </c>
      <c r="B66" s="68" t="str">
        <f>Stoff!A66</f>
        <v>MTBE</v>
      </c>
      <c r="C66" s="67">
        <f t="shared" si="1"/>
        <v>0</v>
      </c>
      <c r="D66" s="55">
        <f t="shared" si="2"/>
        <v>0</v>
      </c>
      <c r="E66" s="55" t="e">
        <f t="shared" si="3"/>
        <v>#DIV/0!</v>
      </c>
      <c r="F66" s="66" t="e">
        <f t="shared" si="4"/>
        <v>#NUM!</v>
      </c>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row>
    <row r="67" spans="1:157" x14ac:dyDescent="0.35">
      <c r="A67" s="65" t="str">
        <f t="shared" si="0"/>
        <v/>
      </c>
      <c r="B67" s="68" t="str">
        <f>Stoff!A67</f>
        <v>Tetraetylbly</v>
      </c>
      <c r="C67" s="67">
        <f t="shared" si="1"/>
        <v>0</v>
      </c>
      <c r="D67" s="55">
        <f t="shared" si="2"/>
        <v>0</v>
      </c>
      <c r="E67" s="55" t="e">
        <f t="shared" si="3"/>
        <v>#DIV/0!</v>
      </c>
      <c r="F67" s="66" t="e">
        <f t="shared" si="4"/>
        <v>#NUM!</v>
      </c>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row>
    <row r="68" spans="1:157" x14ac:dyDescent="0.35">
      <c r="A68" s="65" t="str">
        <f t="shared" ref="A68:A86" si="5">IF(C68&gt;0,"x","")</f>
        <v/>
      </c>
      <c r="B68" s="68" t="str">
        <f>Stoff!A68</f>
        <v>PBDE-99</v>
      </c>
      <c r="C68" s="67">
        <f t="shared" ref="C68:C86" si="6">COUNT(G68:IV68)</f>
        <v>0</v>
      </c>
      <c r="D68" s="55">
        <f t="shared" ref="D68:D86" si="7">MAXA(G68:IV68)</f>
        <v>0</v>
      </c>
      <c r="E68" s="55" t="e">
        <f t="shared" ref="E68:E86" si="8">AVERAGE(G68:IV68)</f>
        <v>#DIV/0!</v>
      </c>
      <c r="F68" s="66" t="e">
        <f t="shared" ref="F68:F86" si="9">D68/MEDIAN(G68:IV68)</f>
        <v>#NUM!</v>
      </c>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row>
    <row r="69" spans="1:157" x14ac:dyDescent="0.35">
      <c r="A69" s="65" t="str">
        <f t="shared" si="5"/>
        <v/>
      </c>
      <c r="B69" s="68" t="str">
        <f>Stoff!A69</f>
        <v>PBDE-154</v>
      </c>
      <c r="C69" s="67">
        <f t="shared" si="6"/>
        <v>0</v>
      </c>
      <c r="D69" s="55">
        <f t="shared" si="7"/>
        <v>0</v>
      </c>
      <c r="E69" s="55" t="e">
        <f t="shared" si="8"/>
        <v>#DIV/0!</v>
      </c>
      <c r="F69" s="66" t="e">
        <f t="shared" si="9"/>
        <v>#NUM!</v>
      </c>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row>
    <row r="70" spans="1:157" x14ac:dyDescent="0.35">
      <c r="A70" s="65" t="str">
        <f t="shared" si="5"/>
        <v/>
      </c>
      <c r="B70" s="68" t="str">
        <f>Stoff!A70</f>
        <v>PBDE-209</v>
      </c>
      <c r="C70" s="67">
        <f t="shared" si="6"/>
        <v>0</v>
      </c>
      <c r="D70" s="55">
        <f t="shared" si="7"/>
        <v>0</v>
      </c>
      <c r="E70" s="55" t="e">
        <f t="shared" si="8"/>
        <v>#DIV/0!</v>
      </c>
      <c r="F70" s="66" t="e">
        <f t="shared" si="9"/>
        <v>#NUM!</v>
      </c>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row>
    <row r="71" spans="1:157" x14ac:dyDescent="0.35">
      <c r="A71" s="65" t="str">
        <f t="shared" si="5"/>
        <v/>
      </c>
      <c r="B71" s="68" t="str">
        <f>Stoff!A71</f>
        <v>HBCDD</v>
      </c>
      <c r="C71" s="67">
        <f t="shared" si="6"/>
        <v>0</v>
      </c>
      <c r="D71" s="55">
        <f t="shared" si="7"/>
        <v>0</v>
      </c>
      <c r="E71" s="55" t="e">
        <f t="shared" si="8"/>
        <v>#DIV/0!</v>
      </c>
      <c r="F71" s="66" t="e">
        <f t="shared" si="9"/>
        <v>#NUM!</v>
      </c>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row>
    <row r="72" spans="1:157" x14ac:dyDescent="0.35">
      <c r="A72" s="65" t="str">
        <f t="shared" si="5"/>
        <v/>
      </c>
      <c r="B72" s="68" t="str">
        <f>Stoff!A72</f>
        <v>Tetrabrombisfenol A</v>
      </c>
      <c r="C72" s="67">
        <f t="shared" si="6"/>
        <v>0</v>
      </c>
      <c r="D72" s="55">
        <f t="shared" si="7"/>
        <v>0</v>
      </c>
      <c r="E72" s="55" t="e">
        <f t="shared" si="8"/>
        <v>#DIV/0!</v>
      </c>
      <c r="F72" s="66" t="e">
        <f t="shared" si="9"/>
        <v>#NUM!</v>
      </c>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row>
    <row r="73" spans="1:157" x14ac:dyDescent="0.35">
      <c r="A73" s="65" t="str">
        <f t="shared" si="5"/>
        <v/>
      </c>
      <c r="B73" s="68" t="str">
        <f>Stoff!A73</f>
        <v>Bisfenol A</v>
      </c>
      <c r="C73" s="67">
        <f t="shared" si="6"/>
        <v>0</v>
      </c>
      <c r="D73" s="55">
        <f t="shared" si="7"/>
        <v>0</v>
      </c>
      <c r="E73" s="55" t="e">
        <f t="shared" si="8"/>
        <v>#DIV/0!</v>
      </c>
      <c r="F73" s="66" t="e">
        <f t="shared" si="9"/>
        <v>#NUM!</v>
      </c>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row>
    <row r="74" spans="1:157" x14ac:dyDescent="0.35">
      <c r="A74" s="65" t="str">
        <f t="shared" si="5"/>
        <v/>
      </c>
      <c r="B74" s="68" t="str">
        <f>Stoff!A74</f>
        <v>PFOS</v>
      </c>
      <c r="C74" s="67">
        <f t="shared" si="6"/>
        <v>0</v>
      </c>
      <c r="D74" s="55">
        <f t="shared" si="7"/>
        <v>0</v>
      </c>
      <c r="E74" s="55" t="e">
        <f t="shared" si="8"/>
        <v>#DIV/0!</v>
      </c>
      <c r="F74" s="66" t="e">
        <f t="shared" si="9"/>
        <v>#NUM!</v>
      </c>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56"/>
      <c r="FA74" s="56"/>
    </row>
    <row r="75" spans="1:157" x14ac:dyDescent="0.35">
      <c r="A75" s="65" t="str">
        <f t="shared" si="5"/>
        <v/>
      </c>
      <c r="B75" s="68" t="str">
        <f>Stoff!A75</f>
        <v>Nonylfenol</v>
      </c>
      <c r="C75" s="67">
        <f t="shared" si="6"/>
        <v>0</v>
      </c>
      <c r="D75" s="55">
        <f t="shared" si="7"/>
        <v>0</v>
      </c>
      <c r="E75" s="55" t="e">
        <f t="shared" si="8"/>
        <v>#DIV/0!</v>
      </c>
      <c r="F75" s="66" t="e">
        <f t="shared" si="9"/>
        <v>#NUM!</v>
      </c>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c r="ET75" s="56"/>
      <c r="EU75" s="56"/>
      <c r="EV75" s="56"/>
      <c r="EW75" s="56"/>
      <c r="EX75" s="56"/>
      <c r="EY75" s="56"/>
      <c r="EZ75" s="56"/>
      <c r="FA75" s="56"/>
    </row>
    <row r="76" spans="1:157" x14ac:dyDescent="0.35">
      <c r="A76" s="65" t="str">
        <f t="shared" si="5"/>
        <v/>
      </c>
      <c r="B76" s="68" t="str">
        <f>Stoff!A76</f>
        <v>Nonylfenoletoksilat</v>
      </c>
      <c r="C76" s="67">
        <f t="shared" si="6"/>
        <v>0</v>
      </c>
      <c r="D76" s="55">
        <f t="shared" si="7"/>
        <v>0</v>
      </c>
      <c r="E76" s="55" t="e">
        <f t="shared" si="8"/>
        <v>#DIV/0!</v>
      </c>
      <c r="F76" s="66" t="e">
        <f t="shared" si="9"/>
        <v>#NUM!</v>
      </c>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row>
    <row r="77" spans="1:157" x14ac:dyDescent="0.35">
      <c r="A77" s="65" t="str">
        <f t="shared" si="5"/>
        <v/>
      </c>
      <c r="B77" s="68" t="str">
        <f>Stoff!A77</f>
        <v>Oktylfenol</v>
      </c>
      <c r="C77" s="67">
        <f t="shared" si="6"/>
        <v>0</v>
      </c>
      <c r="D77" s="55">
        <f t="shared" si="7"/>
        <v>0</v>
      </c>
      <c r="E77" s="55" t="e">
        <f t="shared" si="8"/>
        <v>#DIV/0!</v>
      </c>
      <c r="F77" s="66" t="e">
        <f t="shared" si="9"/>
        <v>#NUM!</v>
      </c>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row>
    <row r="78" spans="1:157" x14ac:dyDescent="0.35">
      <c r="A78" s="65" t="str">
        <f t="shared" si="5"/>
        <v/>
      </c>
      <c r="B78" s="68" t="str">
        <f>Stoff!A78</f>
        <v>Oktylfenoletoksilat</v>
      </c>
      <c r="C78" s="67">
        <f t="shared" si="6"/>
        <v>0</v>
      </c>
      <c r="D78" s="55">
        <f t="shared" si="7"/>
        <v>0</v>
      </c>
      <c r="E78" s="55" t="e">
        <f t="shared" si="8"/>
        <v>#DIV/0!</v>
      </c>
      <c r="F78" s="66" t="e">
        <f t="shared" si="9"/>
        <v>#NUM!</v>
      </c>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row>
    <row r="79" spans="1:157" x14ac:dyDescent="0.35">
      <c r="A79" s="65" t="str">
        <f t="shared" si="5"/>
        <v/>
      </c>
      <c r="B79" s="68" t="str">
        <f>Stoff!A79</f>
        <v>TBT-oksid</v>
      </c>
      <c r="C79" s="67">
        <f t="shared" si="6"/>
        <v>0</v>
      </c>
      <c r="D79" s="55">
        <f t="shared" si="7"/>
        <v>0</v>
      </c>
      <c r="E79" s="55" t="e">
        <f t="shared" si="8"/>
        <v>#DIV/0!</v>
      </c>
      <c r="F79" s="66" t="e">
        <f t="shared" si="9"/>
        <v>#NUM!</v>
      </c>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row>
    <row r="80" spans="1:157" x14ac:dyDescent="0.35">
      <c r="A80" s="65" t="str">
        <f t="shared" si="5"/>
        <v/>
      </c>
      <c r="B80" s="68" t="str">
        <f>Stoff!A80</f>
        <v>Trifenyltinnklorid</v>
      </c>
      <c r="C80" s="67">
        <f t="shared" si="6"/>
        <v>0</v>
      </c>
      <c r="D80" s="55">
        <f t="shared" si="7"/>
        <v>0</v>
      </c>
      <c r="E80" s="55" t="e">
        <f t="shared" si="8"/>
        <v>#DIV/0!</v>
      </c>
      <c r="F80" s="66" t="e">
        <f t="shared" si="9"/>
        <v>#NUM!</v>
      </c>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row>
    <row r="81" spans="1:157" x14ac:dyDescent="0.35">
      <c r="A81" s="65" t="str">
        <f t="shared" si="5"/>
        <v/>
      </c>
      <c r="B81" s="68" t="str">
        <f>Stoff!A81</f>
        <v>Di(2-etylheksyl)ftalat</v>
      </c>
      <c r="C81" s="67">
        <f t="shared" si="6"/>
        <v>0</v>
      </c>
      <c r="D81" s="55">
        <f t="shared" si="7"/>
        <v>0</v>
      </c>
      <c r="E81" s="55" t="e">
        <f t="shared" si="8"/>
        <v>#DIV/0!</v>
      </c>
      <c r="F81" s="66" t="e">
        <f t="shared" si="9"/>
        <v>#NUM!</v>
      </c>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row>
    <row r="82" spans="1:157" x14ac:dyDescent="0.35">
      <c r="A82" s="65" t="str">
        <f t="shared" si="5"/>
        <v/>
      </c>
      <c r="B82" s="68" t="str">
        <f>Stoff!A82</f>
        <v>Mellomkjedete kl. paraf.</v>
      </c>
      <c r="C82" s="67">
        <f t="shared" si="6"/>
        <v>0</v>
      </c>
      <c r="D82" s="55">
        <f t="shared" si="7"/>
        <v>0</v>
      </c>
      <c r="E82" s="55" t="e">
        <f t="shared" si="8"/>
        <v>#DIV/0!</v>
      </c>
      <c r="F82" s="66" t="e">
        <f t="shared" si="9"/>
        <v>#NUM!</v>
      </c>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row>
    <row r="83" spans="1:157" x14ac:dyDescent="0.35">
      <c r="A83" s="65" t="str">
        <f t="shared" si="5"/>
        <v/>
      </c>
      <c r="B83" s="68" t="str">
        <f>Stoff!A83</f>
        <v>Kortkjedete kl. paraf.</v>
      </c>
      <c r="C83" s="67">
        <f t="shared" si="6"/>
        <v>0</v>
      </c>
      <c r="D83" s="55">
        <f t="shared" si="7"/>
        <v>0</v>
      </c>
      <c r="E83" s="55" t="e">
        <f t="shared" si="8"/>
        <v>#DIV/0!</v>
      </c>
      <c r="F83" s="66" t="e">
        <f t="shared" si="9"/>
        <v>#NUM!</v>
      </c>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row>
    <row r="84" spans="1:157" x14ac:dyDescent="0.35">
      <c r="A84" s="65" t="str">
        <f t="shared" si="5"/>
        <v/>
      </c>
      <c r="B84" s="68" t="str">
        <f>Stoff!A84</f>
        <v>Polyklorerte naftalener</v>
      </c>
      <c r="C84" s="67">
        <f t="shared" si="6"/>
        <v>0</v>
      </c>
      <c r="D84" s="55">
        <f t="shared" si="7"/>
        <v>0</v>
      </c>
      <c r="E84" s="55" t="e">
        <f t="shared" si="8"/>
        <v>#DIV/0!</v>
      </c>
      <c r="F84" s="66" t="e">
        <f t="shared" si="9"/>
        <v>#NUM!</v>
      </c>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row>
    <row r="85" spans="1:157" x14ac:dyDescent="0.35">
      <c r="A85" s="65" t="str">
        <f t="shared" si="5"/>
        <v/>
      </c>
      <c r="B85" s="68" t="str">
        <f>Stoff!A85</f>
        <v>Trikresylfosfat</v>
      </c>
      <c r="C85" s="67">
        <f t="shared" si="6"/>
        <v>0</v>
      </c>
      <c r="D85" s="55">
        <f t="shared" si="7"/>
        <v>0</v>
      </c>
      <c r="E85" s="55" t="e">
        <f t="shared" si="8"/>
        <v>#DIV/0!</v>
      </c>
      <c r="F85" s="66" t="e">
        <f t="shared" si="9"/>
        <v>#NUM!</v>
      </c>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row>
    <row r="86" spans="1:157" x14ac:dyDescent="0.35">
      <c r="A86" s="65" t="str">
        <f t="shared" si="5"/>
        <v/>
      </c>
      <c r="B86" s="68" t="str">
        <f>Stoff!A86</f>
        <v>Dioksin (TCDD-ekv.)</v>
      </c>
      <c r="C86" s="67">
        <f t="shared" si="6"/>
        <v>0</v>
      </c>
      <c r="D86" s="55">
        <f t="shared" si="7"/>
        <v>0</v>
      </c>
      <c r="E86" s="55" t="e">
        <f t="shared" si="8"/>
        <v>#DIV/0!</v>
      </c>
      <c r="F86" s="66" t="e">
        <f t="shared" si="9"/>
        <v>#NUM!</v>
      </c>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c r="ED86" s="56"/>
      <c r="EE86" s="56"/>
      <c r="EF86" s="56"/>
      <c r="EG86" s="56"/>
      <c r="EH86" s="56"/>
      <c r="EI86" s="56"/>
      <c r="EJ86" s="56"/>
      <c r="EK86" s="56"/>
      <c r="EL86" s="56"/>
      <c r="EM86" s="56"/>
      <c r="EN86" s="56"/>
      <c r="EO86" s="56"/>
      <c r="EP86" s="56"/>
      <c r="EQ86" s="56"/>
      <c r="ER86" s="56"/>
      <c r="ES86" s="56"/>
      <c r="ET86" s="56"/>
      <c r="EU86" s="56"/>
      <c r="EV86" s="56"/>
      <c r="EW86" s="56"/>
      <c r="EX86" s="56"/>
      <c r="EY86" s="56"/>
      <c r="EZ86" s="56"/>
      <c r="FA86" s="56"/>
    </row>
    <row r="87" spans="1:157" x14ac:dyDescent="0.35">
      <c r="A87" s="65" t="str">
        <f t="shared" ref="A87:A114" si="10">IF(C87&gt;0,"x","")</f>
        <v/>
      </c>
      <c r="B87" s="68" t="str">
        <f>Stoff!A87</f>
        <v>nystoff 1</v>
      </c>
      <c r="C87" s="67">
        <f t="shared" ref="C87:C114" si="11">COUNT(G87:IV87)</f>
        <v>0</v>
      </c>
      <c r="D87" s="55">
        <f t="shared" ref="D87:D114" si="12">MAXA(G87:IV87)</f>
        <v>0</v>
      </c>
      <c r="E87" s="55" t="e">
        <f t="shared" ref="E87:E114" si="13">AVERAGE(G87:IV87)</f>
        <v>#DIV/0!</v>
      </c>
      <c r="F87" s="66" t="e">
        <f t="shared" ref="F87:F114" si="14">D87/MEDIAN(G87:IV87)</f>
        <v>#NUM!</v>
      </c>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c r="ES87" s="56"/>
      <c r="ET87" s="56"/>
      <c r="EU87" s="56"/>
      <c r="EV87" s="56"/>
      <c r="EW87" s="56"/>
      <c r="EX87" s="56"/>
      <c r="EY87" s="56"/>
      <c r="EZ87" s="56"/>
      <c r="FA87" s="56"/>
    </row>
    <row r="88" spans="1:157" x14ac:dyDescent="0.35">
      <c r="A88" s="65" t="str">
        <f t="shared" si="10"/>
        <v/>
      </c>
      <c r="B88" s="68" t="str">
        <f>Stoff!A88</f>
        <v>nystoff 2</v>
      </c>
      <c r="C88" s="67">
        <f t="shared" si="11"/>
        <v>0</v>
      </c>
      <c r="D88" s="55">
        <f t="shared" si="12"/>
        <v>0</v>
      </c>
      <c r="E88" s="55" t="e">
        <f t="shared" si="13"/>
        <v>#DIV/0!</v>
      </c>
      <c r="F88" s="66" t="e">
        <f t="shared" si="14"/>
        <v>#NUM!</v>
      </c>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row>
    <row r="89" spans="1:157" x14ac:dyDescent="0.35">
      <c r="A89" s="65" t="str">
        <f t="shared" si="10"/>
        <v/>
      </c>
      <c r="B89" s="68" t="str">
        <f>Stoff!A89</f>
        <v>nystoff 3</v>
      </c>
      <c r="C89" s="67">
        <f t="shared" si="11"/>
        <v>0</v>
      </c>
      <c r="D89" s="55">
        <f t="shared" si="12"/>
        <v>0</v>
      </c>
      <c r="E89" s="55" t="e">
        <f t="shared" si="13"/>
        <v>#DIV/0!</v>
      </c>
      <c r="F89" s="66" t="e">
        <f t="shared" si="14"/>
        <v>#NUM!</v>
      </c>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c r="ED89" s="56"/>
      <c r="EE89" s="56"/>
      <c r="EF89" s="56"/>
      <c r="EG89" s="56"/>
      <c r="EH89" s="56"/>
      <c r="EI89" s="56"/>
      <c r="EJ89" s="56"/>
      <c r="EK89" s="56"/>
      <c r="EL89" s="56"/>
      <c r="EM89" s="56"/>
      <c r="EN89" s="56"/>
      <c r="EO89" s="56"/>
      <c r="EP89" s="56"/>
      <c r="EQ89" s="56"/>
      <c r="ER89" s="56"/>
      <c r="ES89" s="56"/>
      <c r="ET89" s="56"/>
      <c r="EU89" s="56"/>
      <c r="EV89" s="56"/>
      <c r="EW89" s="56"/>
      <c r="EX89" s="56"/>
      <c r="EY89" s="56"/>
      <c r="EZ89" s="56"/>
      <c r="FA89" s="56"/>
    </row>
    <row r="90" spans="1:157" x14ac:dyDescent="0.35">
      <c r="A90" s="65" t="str">
        <f t="shared" si="10"/>
        <v/>
      </c>
      <c r="B90" s="68" t="str">
        <f>Stoff!A90</f>
        <v>nystoff 4</v>
      </c>
      <c r="C90" s="67">
        <f t="shared" si="11"/>
        <v>0</v>
      </c>
      <c r="D90" s="55">
        <f t="shared" si="12"/>
        <v>0</v>
      </c>
      <c r="E90" s="55" t="e">
        <f t="shared" si="13"/>
        <v>#DIV/0!</v>
      </c>
      <c r="F90" s="66" t="e">
        <f t="shared" si="14"/>
        <v>#NUM!</v>
      </c>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c r="EJ90" s="56"/>
      <c r="EK90" s="56"/>
      <c r="EL90" s="56"/>
      <c r="EM90" s="56"/>
      <c r="EN90" s="56"/>
      <c r="EO90" s="56"/>
      <c r="EP90" s="56"/>
      <c r="EQ90" s="56"/>
      <c r="ER90" s="56"/>
      <c r="ES90" s="56"/>
      <c r="ET90" s="56"/>
      <c r="EU90" s="56"/>
      <c r="EV90" s="56"/>
      <c r="EW90" s="56"/>
      <c r="EX90" s="56"/>
      <c r="EY90" s="56"/>
      <c r="EZ90" s="56"/>
      <c r="FA90" s="56"/>
    </row>
    <row r="91" spans="1:157" x14ac:dyDescent="0.35">
      <c r="A91" s="65" t="str">
        <f t="shared" si="10"/>
        <v/>
      </c>
      <c r="B91" s="68" t="str">
        <f>Stoff!A91</f>
        <v>nystoff 5</v>
      </c>
      <c r="C91" s="67">
        <f t="shared" si="11"/>
        <v>0</v>
      </c>
      <c r="D91" s="55">
        <f t="shared" si="12"/>
        <v>0</v>
      </c>
      <c r="E91" s="55" t="e">
        <f t="shared" si="13"/>
        <v>#DIV/0!</v>
      </c>
      <c r="F91" s="66" t="e">
        <f t="shared" si="14"/>
        <v>#NUM!</v>
      </c>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c r="EN91" s="56"/>
      <c r="EO91" s="56"/>
      <c r="EP91" s="56"/>
      <c r="EQ91" s="56"/>
      <c r="ER91" s="56"/>
      <c r="ES91" s="56"/>
      <c r="ET91" s="56"/>
      <c r="EU91" s="56"/>
      <c r="EV91" s="56"/>
      <c r="EW91" s="56"/>
      <c r="EX91" s="56"/>
      <c r="EY91" s="56"/>
      <c r="EZ91" s="56"/>
      <c r="FA91" s="56"/>
    </row>
    <row r="92" spans="1:157" x14ac:dyDescent="0.35">
      <c r="A92" s="65" t="str">
        <f t="shared" si="10"/>
        <v/>
      </c>
      <c r="B92" s="68" t="str">
        <f>Stoff!A92</f>
        <v>nystoff 6</v>
      </c>
      <c r="C92" s="67">
        <f t="shared" si="11"/>
        <v>0</v>
      </c>
      <c r="D92" s="55">
        <f t="shared" si="12"/>
        <v>0</v>
      </c>
      <c r="E92" s="55" t="e">
        <f t="shared" si="13"/>
        <v>#DIV/0!</v>
      </c>
      <c r="F92" s="66" t="e">
        <f t="shared" si="14"/>
        <v>#NUM!</v>
      </c>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6"/>
      <c r="DY92" s="56"/>
      <c r="DZ92" s="56"/>
      <c r="EA92" s="56"/>
      <c r="EB92" s="56"/>
      <c r="EC92" s="56"/>
      <c r="ED92" s="56"/>
      <c r="EE92" s="56"/>
      <c r="EF92" s="56"/>
      <c r="EG92" s="56"/>
      <c r="EH92" s="56"/>
      <c r="EI92" s="56"/>
      <c r="EJ92" s="56"/>
      <c r="EK92" s="56"/>
      <c r="EL92" s="56"/>
      <c r="EM92" s="56"/>
      <c r="EN92" s="56"/>
      <c r="EO92" s="56"/>
      <c r="EP92" s="56"/>
      <c r="EQ92" s="56"/>
      <c r="ER92" s="56"/>
      <c r="ES92" s="56"/>
      <c r="ET92" s="56"/>
      <c r="EU92" s="56"/>
      <c r="EV92" s="56"/>
      <c r="EW92" s="56"/>
      <c r="EX92" s="56"/>
      <c r="EY92" s="56"/>
      <c r="EZ92" s="56"/>
      <c r="FA92" s="56"/>
    </row>
    <row r="93" spans="1:157" x14ac:dyDescent="0.35">
      <c r="A93" s="65" t="str">
        <f t="shared" si="10"/>
        <v/>
      </c>
      <c r="B93" s="68" t="str">
        <f>Stoff!A93</f>
        <v>nystoff 7</v>
      </c>
      <c r="C93" s="67">
        <f t="shared" si="11"/>
        <v>0</v>
      </c>
      <c r="D93" s="55">
        <f t="shared" si="12"/>
        <v>0</v>
      </c>
      <c r="E93" s="55" t="e">
        <f t="shared" si="13"/>
        <v>#DIV/0!</v>
      </c>
      <c r="F93" s="66" t="e">
        <f t="shared" si="14"/>
        <v>#NUM!</v>
      </c>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c r="EA93" s="56"/>
      <c r="EB93" s="56"/>
      <c r="EC93" s="56"/>
      <c r="ED93" s="56"/>
      <c r="EE93" s="56"/>
      <c r="EF93" s="56"/>
      <c r="EG93" s="56"/>
      <c r="EH93" s="56"/>
      <c r="EI93" s="56"/>
      <c r="EJ93" s="56"/>
      <c r="EK93" s="56"/>
      <c r="EL93" s="56"/>
      <c r="EM93" s="56"/>
      <c r="EN93" s="56"/>
      <c r="EO93" s="56"/>
      <c r="EP93" s="56"/>
      <c r="EQ93" s="56"/>
      <c r="ER93" s="56"/>
      <c r="ES93" s="56"/>
      <c r="ET93" s="56"/>
      <c r="EU93" s="56"/>
      <c r="EV93" s="56"/>
      <c r="EW93" s="56"/>
      <c r="EX93" s="56"/>
      <c r="EY93" s="56"/>
      <c r="EZ93" s="56"/>
      <c r="FA93" s="56"/>
    </row>
    <row r="94" spans="1:157" x14ac:dyDescent="0.35">
      <c r="A94" s="65" t="str">
        <f t="shared" si="10"/>
        <v/>
      </c>
      <c r="B94" s="68" t="str">
        <f>Stoff!A94</f>
        <v>nystoff 8</v>
      </c>
      <c r="C94" s="67">
        <f t="shared" si="11"/>
        <v>0</v>
      </c>
      <c r="D94" s="55">
        <f t="shared" si="12"/>
        <v>0</v>
      </c>
      <c r="E94" s="55" t="e">
        <f t="shared" si="13"/>
        <v>#DIV/0!</v>
      </c>
      <c r="F94" s="66" t="e">
        <f t="shared" si="14"/>
        <v>#NUM!</v>
      </c>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c r="EJ94" s="56"/>
      <c r="EK94" s="56"/>
      <c r="EL94" s="56"/>
      <c r="EM94" s="56"/>
      <c r="EN94" s="56"/>
      <c r="EO94" s="56"/>
      <c r="EP94" s="56"/>
      <c r="EQ94" s="56"/>
      <c r="ER94" s="56"/>
      <c r="ES94" s="56"/>
      <c r="ET94" s="56"/>
      <c r="EU94" s="56"/>
      <c r="EV94" s="56"/>
      <c r="EW94" s="56"/>
      <c r="EX94" s="56"/>
      <c r="EY94" s="56"/>
      <c r="EZ94" s="56"/>
      <c r="FA94" s="56"/>
    </row>
    <row r="95" spans="1:157" x14ac:dyDescent="0.35">
      <c r="A95" s="65" t="str">
        <f t="shared" si="10"/>
        <v/>
      </c>
      <c r="B95" s="68" t="str">
        <f>Stoff!A95</f>
        <v>nystoff 9</v>
      </c>
      <c r="C95" s="67">
        <f t="shared" si="11"/>
        <v>0</v>
      </c>
      <c r="D95" s="55">
        <f t="shared" si="12"/>
        <v>0</v>
      </c>
      <c r="E95" s="55" t="e">
        <f t="shared" si="13"/>
        <v>#DIV/0!</v>
      </c>
      <c r="F95" s="66" t="e">
        <f t="shared" si="14"/>
        <v>#NUM!</v>
      </c>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EW95" s="56"/>
      <c r="EX95" s="56"/>
      <c r="EY95" s="56"/>
      <c r="EZ95" s="56"/>
      <c r="FA95" s="56"/>
    </row>
    <row r="96" spans="1:157" x14ac:dyDescent="0.35">
      <c r="A96" s="65" t="str">
        <f t="shared" si="10"/>
        <v/>
      </c>
      <c r="B96" s="68" t="str">
        <f>Stoff!A96</f>
        <v>nystoff 10</v>
      </c>
      <c r="C96" s="67">
        <f t="shared" si="11"/>
        <v>0</v>
      </c>
      <c r="D96" s="55">
        <f t="shared" si="12"/>
        <v>0</v>
      </c>
      <c r="E96" s="55" t="e">
        <f t="shared" si="13"/>
        <v>#DIV/0!</v>
      </c>
      <c r="F96" s="66" t="e">
        <f t="shared" si="14"/>
        <v>#NUM!</v>
      </c>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c r="EN96" s="56"/>
      <c r="EO96" s="56"/>
      <c r="EP96" s="56"/>
      <c r="EQ96" s="56"/>
      <c r="ER96" s="56"/>
      <c r="ES96" s="56"/>
      <c r="ET96" s="56"/>
      <c r="EU96" s="56"/>
      <c r="EV96" s="56"/>
      <c r="EW96" s="56"/>
      <c r="EX96" s="56"/>
      <c r="EY96" s="56"/>
      <c r="EZ96" s="56"/>
      <c r="FA96" s="56"/>
    </row>
    <row r="97" spans="1:157" x14ac:dyDescent="0.35">
      <c r="A97" s="65" t="str">
        <f t="shared" si="10"/>
        <v/>
      </c>
      <c r="B97" s="68" t="str">
        <f>Stoff!A97</f>
        <v>nystoff 11</v>
      </c>
      <c r="C97" s="67">
        <f t="shared" si="11"/>
        <v>0</v>
      </c>
      <c r="D97" s="55">
        <f t="shared" si="12"/>
        <v>0</v>
      </c>
      <c r="E97" s="55" t="e">
        <f t="shared" si="13"/>
        <v>#DIV/0!</v>
      </c>
      <c r="F97" s="66" t="e">
        <f t="shared" si="14"/>
        <v>#NUM!</v>
      </c>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row>
    <row r="98" spans="1:157" x14ac:dyDescent="0.35">
      <c r="A98" s="65" t="str">
        <f t="shared" si="10"/>
        <v/>
      </c>
      <c r="B98" s="68" t="str">
        <f>Stoff!A98</f>
        <v>nystoff 12</v>
      </c>
      <c r="C98" s="67">
        <f t="shared" si="11"/>
        <v>0</v>
      </c>
      <c r="D98" s="55">
        <f t="shared" si="12"/>
        <v>0</v>
      </c>
      <c r="E98" s="55" t="e">
        <f t="shared" si="13"/>
        <v>#DIV/0!</v>
      </c>
      <c r="F98" s="66" t="e">
        <f t="shared" si="14"/>
        <v>#NUM!</v>
      </c>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row>
    <row r="99" spans="1:157" x14ac:dyDescent="0.35">
      <c r="A99" s="65" t="str">
        <f t="shared" si="10"/>
        <v/>
      </c>
      <c r="B99" s="68" t="str">
        <f>Stoff!A99</f>
        <v>nystoff 13</v>
      </c>
      <c r="C99" s="67">
        <f t="shared" si="11"/>
        <v>0</v>
      </c>
      <c r="D99" s="55">
        <f t="shared" si="12"/>
        <v>0</v>
      </c>
      <c r="E99" s="55" t="e">
        <f t="shared" si="13"/>
        <v>#DIV/0!</v>
      </c>
      <c r="F99" s="66" t="e">
        <f t="shared" si="14"/>
        <v>#NUM!</v>
      </c>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c r="EO99" s="56"/>
      <c r="EP99" s="56"/>
      <c r="EQ99" s="56"/>
      <c r="ER99" s="56"/>
      <c r="ES99" s="56"/>
      <c r="ET99" s="56"/>
      <c r="EU99" s="56"/>
      <c r="EV99" s="56"/>
      <c r="EW99" s="56"/>
      <c r="EX99" s="56"/>
      <c r="EY99" s="56"/>
      <c r="EZ99" s="56"/>
      <c r="FA99" s="56"/>
    </row>
    <row r="100" spans="1:157" x14ac:dyDescent="0.35">
      <c r="A100" s="65" t="str">
        <f t="shared" si="10"/>
        <v/>
      </c>
      <c r="B100" s="68" t="str">
        <f>Stoff!A100</f>
        <v>nystoff 14</v>
      </c>
      <c r="C100" s="67">
        <f t="shared" si="11"/>
        <v>0</v>
      </c>
      <c r="D100" s="55">
        <f t="shared" si="12"/>
        <v>0</v>
      </c>
      <c r="E100" s="55" t="e">
        <f t="shared" si="13"/>
        <v>#DIV/0!</v>
      </c>
      <c r="F100" s="66" t="e">
        <f t="shared" si="14"/>
        <v>#NUM!</v>
      </c>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c r="DQ100" s="56"/>
      <c r="DR100" s="56"/>
      <c r="DS100" s="56"/>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c r="EV100" s="56"/>
      <c r="EW100" s="56"/>
      <c r="EX100" s="56"/>
      <c r="EY100" s="56"/>
      <c r="EZ100" s="56"/>
      <c r="FA100" s="56"/>
    </row>
    <row r="101" spans="1:157" x14ac:dyDescent="0.35">
      <c r="A101" s="65" t="str">
        <f t="shared" si="10"/>
        <v/>
      </c>
      <c r="B101" s="68" t="str">
        <f>Stoff!A101</f>
        <v>nystoff 15</v>
      </c>
      <c r="C101" s="67">
        <f t="shared" si="11"/>
        <v>0</v>
      </c>
      <c r="D101" s="55">
        <f t="shared" si="12"/>
        <v>0</v>
      </c>
      <c r="E101" s="55" t="e">
        <f t="shared" si="13"/>
        <v>#DIV/0!</v>
      </c>
      <c r="F101" s="66" t="e">
        <f t="shared" si="14"/>
        <v>#NUM!</v>
      </c>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row>
    <row r="102" spans="1:157" x14ac:dyDescent="0.35">
      <c r="A102" s="65" t="str">
        <f t="shared" si="10"/>
        <v/>
      </c>
      <c r="B102" s="68" t="str">
        <f>Stoff!A102</f>
        <v>nystoff 16</v>
      </c>
      <c r="C102" s="67">
        <f t="shared" si="11"/>
        <v>0</v>
      </c>
      <c r="D102" s="55">
        <f t="shared" si="12"/>
        <v>0</v>
      </c>
      <c r="E102" s="55" t="e">
        <f t="shared" si="13"/>
        <v>#DIV/0!</v>
      </c>
      <c r="F102" s="66" t="e">
        <f t="shared" si="14"/>
        <v>#NUM!</v>
      </c>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6"/>
      <c r="DY102" s="56"/>
      <c r="DZ102" s="56"/>
      <c r="EA102" s="56"/>
      <c r="EB102" s="56"/>
      <c r="EC102" s="56"/>
      <c r="ED102" s="56"/>
      <c r="EE102" s="56"/>
      <c r="EF102" s="56"/>
      <c r="EG102" s="56"/>
      <c r="EH102" s="56"/>
      <c r="EI102" s="56"/>
      <c r="EJ102" s="56"/>
      <c r="EK102" s="56"/>
      <c r="EL102" s="56"/>
      <c r="EM102" s="56"/>
      <c r="EN102" s="56"/>
      <c r="EO102" s="56"/>
      <c r="EP102" s="56"/>
      <c r="EQ102" s="56"/>
      <c r="ER102" s="56"/>
      <c r="ES102" s="56"/>
      <c r="ET102" s="56"/>
      <c r="EU102" s="56"/>
      <c r="EV102" s="56"/>
      <c r="EW102" s="56"/>
      <c r="EX102" s="56"/>
      <c r="EY102" s="56"/>
      <c r="EZ102" s="56"/>
      <c r="FA102" s="56"/>
    </row>
    <row r="103" spans="1:157" x14ac:dyDescent="0.35">
      <c r="A103" s="65" t="str">
        <f t="shared" si="10"/>
        <v/>
      </c>
      <c r="B103" s="68" t="str">
        <f>Stoff!A103</f>
        <v>nystoff 17</v>
      </c>
      <c r="C103" s="67">
        <f t="shared" si="11"/>
        <v>0</v>
      </c>
      <c r="D103" s="55">
        <f t="shared" si="12"/>
        <v>0</v>
      </c>
      <c r="E103" s="55" t="e">
        <f t="shared" si="13"/>
        <v>#DIV/0!</v>
      </c>
      <c r="F103" s="66" t="e">
        <f t="shared" si="14"/>
        <v>#NUM!</v>
      </c>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6"/>
      <c r="EQ103" s="56"/>
      <c r="ER103" s="56"/>
      <c r="ES103" s="56"/>
      <c r="ET103" s="56"/>
      <c r="EU103" s="56"/>
      <c r="EV103" s="56"/>
      <c r="EW103" s="56"/>
      <c r="EX103" s="56"/>
      <c r="EY103" s="56"/>
      <c r="EZ103" s="56"/>
      <c r="FA103" s="56"/>
    </row>
    <row r="104" spans="1:157" x14ac:dyDescent="0.35">
      <c r="A104" s="65" t="str">
        <f t="shared" si="10"/>
        <v/>
      </c>
      <c r="B104" s="68" t="str">
        <f>Stoff!A104</f>
        <v>nystoff 18</v>
      </c>
      <c r="C104" s="67">
        <f t="shared" si="11"/>
        <v>0</v>
      </c>
      <c r="D104" s="55">
        <f t="shared" si="12"/>
        <v>0</v>
      </c>
      <c r="E104" s="55" t="e">
        <f t="shared" si="13"/>
        <v>#DIV/0!</v>
      </c>
      <c r="F104" s="66" t="e">
        <f t="shared" si="14"/>
        <v>#NUM!</v>
      </c>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row>
    <row r="105" spans="1:157" x14ac:dyDescent="0.35">
      <c r="A105" s="65" t="str">
        <f t="shared" si="10"/>
        <v/>
      </c>
      <c r="B105" s="68" t="str">
        <f>Stoff!A105</f>
        <v>nystoff 19</v>
      </c>
      <c r="C105" s="67">
        <f t="shared" si="11"/>
        <v>0</v>
      </c>
      <c r="D105" s="55">
        <f t="shared" si="12"/>
        <v>0</v>
      </c>
      <c r="E105" s="55" t="e">
        <f t="shared" si="13"/>
        <v>#DIV/0!</v>
      </c>
      <c r="F105" s="66" t="e">
        <f t="shared" si="14"/>
        <v>#NUM!</v>
      </c>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c r="EA105" s="56"/>
      <c r="EB105" s="56"/>
      <c r="EC105" s="56"/>
      <c r="ED105" s="56"/>
      <c r="EE105" s="56"/>
      <c r="EF105" s="56"/>
      <c r="EG105" s="56"/>
      <c r="EH105" s="56"/>
      <c r="EI105" s="56"/>
      <c r="EJ105" s="56"/>
      <c r="EK105" s="56"/>
      <c r="EL105" s="56"/>
      <c r="EM105" s="56"/>
      <c r="EN105" s="56"/>
      <c r="EO105" s="56"/>
      <c r="EP105" s="56"/>
      <c r="EQ105" s="56"/>
      <c r="ER105" s="56"/>
      <c r="ES105" s="56"/>
      <c r="ET105" s="56"/>
      <c r="EU105" s="56"/>
      <c r="EV105" s="56"/>
      <c r="EW105" s="56"/>
      <c r="EX105" s="56"/>
      <c r="EY105" s="56"/>
      <c r="EZ105" s="56"/>
      <c r="FA105" s="56"/>
    </row>
    <row r="106" spans="1:157" x14ac:dyDescent="0.35">
      <c r="A106" s="65" t="str">
        <f t="shared" si="10"/>
        <v/>
      </c>
      <c r="B106" s="68" t="str">
        <f>Stoff!A106</f>
        <v>nystoff 20</v>
      </c>
      <c r="C106" s="67">
        <f t="shared" si="11"/>
        <v>0</v>
      </c>
      <c r="D106" s="55">
        <f t="shared" si="12"/>
        <v>0</v>
      </c>
      <c r="E106" s="55" t="e">
        <f t="shared" si="13"/>
        <v>#DIV/0!</v>
      </c>
      <c r="F106" s="66" t="e">
        <f t="shared" si="14"/>
        <v>#NUM!</v>
      </c>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c r="DH106" s="56"/>
      <c r="DI106" s="56"/>
      <c r="DJ106" s="56"/>
      <c r="DK106" s="56"/>
      <c r="DL106" s="56"/>
      <c r="DM106" s="56"/>
      <c r="DN106" s="56"/>
      <c r="DO106" s="56"/>
      <c r="DP106" s="56"/>
      <c r="DQ106" s="56"/>
      <c r="DR106" s="56"/>
      <c r="DS106" s="56"/>
      <c r="DT106" s="56"/>
      <c r="DU106" s="56"/>
      <c r="DV106" s="56"/>
      <c r="DW106" s="56"/>
      <c r="DX106" s="56"/>
      <c r="DY106" s="56"/>
      <c r="DZ106" s="56"/>
      <c r="EA106" s="56"/>
      <c r="EB106" s="56"/>
      <c r="EC106" s="56"/>
      <c r="ED106" s="56"/>
      <c r="EE106" s="56"/>
      <c r="EF106" s="56"/>
      <c r="EG106" s="56"/>
      <c r="EH106" s="56"/>
      <c r="EI106" s="56"/>
      <c r="EJ106" s="56"/>
      <c r="EK106" s="56"/>
      <c r="EL106" s="56"/>
      <c r="EM106" s="56"/>
      <c r="EN106" s="56"/>
      <c r="EO106" s="56"/>
      <c r="EP106" s="56"/>
      <c r="EQ106" s="56"/>
      <c r="ER106" s="56"/>
      <c r="ES106" s="56"/>
      <c r="ET106" s="56"/>
      <c r="EU106" s="56"/>
      <c r="EV106" s="56"/>
      <c r="EW106" s="56"/>
      <c r="EX106" s="56"/>
      <c r="EY106" s="56"/>
      <c r="EZ106" s="56"/>
      <c r="FA106" s="56"/>
    </row>
    <row r="107" spans="1:157" x14ac:dyDescent="0.35">
      <c r="A107" s="65" t="str">
        <f t="shared" si="10"/>
        <v/>
      </c>
      <c r="B107" s="68" t="str">
        <f>Stoff!A107</f>
        <v>nystoff 21</v>
      </c>
      <c r="C107" s="67">
        <f t="shared" si="11"/>
        <v>0</v>
      </c>
      <c r="D107" s="55">
        <f t="shared" si="12"/>
        <v>0</v>
      </c>
      <c r="E107" s="55" t="e">
        <f t="shared" si="13"/>
        <v>#DIV/0!</v>
      </c>
      <c r="F107" s="66" t="e">
        <f t="shared" si="14"/>
        <v>#NUM!</v>
      </c>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row>
    <row r="108" spans="1:157" x14ac:dyDescent="0.35">
      <c r="A108" s="65" t="str">
        <f t="shared" si="10"/>
        <v/>
      </c>
      <c r="B108" s="68" t="str">
        <f>Stoff!A108</f>
        <v>nystoff 22</v>
      </c>
      <c r="C108" s="67">
        <f t="shared" si="11"/>
        <v>0</v>
      </c>
      <c r="D108" s="55">
        <f t="shared" si="12"/>
        <v>0</v>
      </c>
      <c r="E108" s="55" t="e">
        <f t="shared" si="13"/>
        <v>#DIV/0!</v>
      </c>
      <c r="F108" s="66" t="e">
        <f t="shared" si="14"/>
        <v>#NUM!</v>
      </c>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6"/>
      <c r="EB108" s="56"/>
      <c r="EC108" s="56"/>
      <c r="ED108" s="56"/>
      <c r="EE108" s="56"/>
      <c r="EF108" s="56"/>
      <c r="EG108" s="56"/>
      <c r="EH108" s="56"/>
      <c r="EI108" s="56"/>
      <c r="EJ108" s="56"/>
      <c r="EK108" s="56"/>
      <c r="EL108" s="56"/>
      <c r="EM108" s="56"/>
      <c r="EN108" s="56"/>
      <c r="EO108" s="56"/>
      <c r="EP108" s="56"/>
      <c r="EQ108" s="56"/>
      <c r="ER108" s="56"/>
      <c r="ES108" s="56"/>
      <c r="ET108" s="56"/>
      <c r="EU108" s="56"/>
      <c r="EV108" s="56"/>
      <c r="EW108" s="56"/>
      <c r="EX108" s="56"/>
      <c r="EY108" s="56"/>
      <c r="EZ108" s="56"/>
      <c r="FA108" s="56"/>
    </row>
    <row r="109" spans="1:157" x14ac:dyDescent="0.35">
      <c r="A109" s="65" t="str">
        <f t="shared" si="10"/>
        <v/>
      </c>
      <c r="B109" s="68" t="str">
        <f>Stoff!A109</f>
        <v>nystoff 23</v>
      </c>
      <c r="C109" s="67">
        <f t="shared" si="11"/>
        <v>0</v>
      </c>
      <c r="D109" s="55">
        <f t="shared" si="12"/>
        <v>0</v>
      </c>
      <c r="E109" s="55" t="e">
        <f t="shared" si="13"/>
        <v>#DIV/0!</v>
      </c>
      <c r="F109" s="66" t="e">
        <f t="shared" si="14"/>
        <v>#NUM!</v>
      </c>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6"/>
      <c r="DY109" s="56"/>
      <c r="DZ109" s="56"/>
      <c r="EA109" s="56"/>
      <c r="EB109" s="56"/>
      <c r="EC109" s="56"/>
      <c r="ED109" s="56"/>
      <c r="EE109" s="56"/>
      <c r="EF109" s="56"/>
      <c r="EG109" s="56"/>
      <c r="EH109" s="56"/>
      <c r="EI109" s="56"/>
      <c r="EJ109" s="56"/>
      <c r="EK109" s="56"/>
      <c r="EL109" s="56"/>
      <c r="EM109" s="56"/>
      <c r="EN109" s="56"/>
      <c r="EO109" s="56"/>
      <c r="EP109" s="56"/>
      <c r="EQ109" s="56"/>
      <c r="ER109" s="56"/>
      <c r="ES109" s="56"/>
      <c r="ET109" s="56"/>
      <c r="EU109" s="56"/>
      <c r="EV109" s="56"/>
      <c r="EW109" s="56"/>
      <c r="EX109" s="56"/>
      <c r="EY109" s="56"/>
      <c r="EZ109" s="56"/>
      <c r="FA109" s="56"/>
    </row>
    <row r="110" spans="1:157" x14ac:dyDescent="0.35">
      <c r="A110" s="65" t="str">
        <f t="shared" si="10"/>
        <v/>
      </c>
      <c r="B110" s="68" t="str">
        <f>Stoff!A110</f>
        <v>nystoff 24</v>
      </c>
      <c r="C110" s="67">
        <f t="shared" si="11"/>
        <v>0</v>
      </c>
      <c r="D110" s="55">
        <f t="shared" si="12"/>
        <v>0</v>
      </c>
      <c r="E110" s="55" t="e">
        <f t="shared" si="13"/>
        <v>#DIV/0!</v>
      </c>
      <c r="F110" s="66" t="e">
        <f t="shared" si="14"/>
        <v>#NUM!</v>
      </c>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c r="DY110" s="56"/>
      <c r="DZ110" s="56"/>
      <c r="EA110" s="56"/>
      <c r="EB110" s="56"/>
      <c r="EC110" s="56"/>
      <c r="ED110" s="56"/>
      <c r="EE110" s="56"/>
      <c r="EF110" s="56"/>
      <c r="EG110" s="56"/>
      <c r="EH110" s="56"/>
      <c r="EI110" s="56"/>
      <c r="EJ110" s="56"/>
      <c r="EK110" s="56"/>
      <c r="EL110" s="56"/>
      <c r="EM110" s="56"/>
      <c r="EN110" s="56"/>
      <c r="EO110" s="56"/>
      <c r="EP110" s="56"/>
      <c r="EQ110" s="56"/>
      <c r="ER110" s="56"/>
      <c r="ES110" s="56"/>
      <c r="ET110" s="56"/>
      <c r="EU110" s="56"/>
      <c r="EV110" s="56"/>
      <c r="EW110" s="56"/>
      <c r="EX110" s="56"/>
      <c r="EY110" s="56"/>
      <c r="EZ110" s="56"/>
      <c r="FA110" s="56"/>
    </row>
    <row r="111" spans="1:157" x14ac:dyDescent="0.35">
      <c r="A111" s="65" t="str">
        <f t="shared" si="10"/>
        <v/>
      </c>
      <c r="B111" s="68" t="str">
        <f>Stoff!A111</f>
        <v>nystoff 25</v>
      </c>
      <c r="C111" s="67">
        <f t="shared" si="11"/>
        <v>0</v>
      </c>
      <c r="D111" s="55">
        <f t="shared" si="12"/>
        <v>0</v>
      </c>
      <c r="E111" s="55" t="e">
        <f t="shared" si="13"/>
        <v>#DIV/0!</v>
      </c>
      <c r="F111" s="66" t="e">
        <f t="shared" si="14"/>
        <v>#NUM!</v>
      </c>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c r="ER111" s="56"/>
      <c r="ES111" s="56"/>
      <c r="ET111" s="56"/>
      <c r="EU111" s="56"/>
      <c r="EV111" s="56"/>
      <c r="EW111" s="56"/>
      <c r="EX111" s="56"/>
      <c r="EY111" s="56"/>
      <c r="EZ111" s="56"/>
      <c r="FA111" s="56"/>
    </row>
    <row r="112" spans="1:157" x14ac:dyDescent="0.35">
      <c r="A112" s="65" t="str">
        <f t="shared" si="10"/>
        <v/>
      </c>
      <c r="B112" s="68" t="str">
        <f>Stoff!A112</f>
        <v>nystoff 26</v>
      </c>
      <c r="C112" s="67">
        <f t="shared" si="11"/>
        <v>0</v>
      </c>
      <c r="D112" s="55">
        <f t="shared" si="12"/>
        <v>0</v>
      </c>
      <c r="E112" s="55" t="e">
        <f t="shared" si="13"/>
        <v>#DIV/0!</v>
      </c>
      <c r="F112" s="66" t="e">
        <f t="shared" si="14"/>
        <v>#NUM!</v>
      </c>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DF112" s="56"/>
      <c r="DG112" s="56"/>
      <c r="DH112" s="56"/>
      <c r="DI112" s="56"/>
      <c r="DJ112" s="56"/>
      <c r="DK112" s="56"/>
      <c r="DL112" s="56"/>
      <c r="DM112" s="56"/>
      <c r="DN112" s="56"/>
      <c r="DO112" s="56"/>
      <c r="DP112" s="56"/>
      <c r="DQ112" s="56"/>
      <c r="DR112" s="56"/>
      <c r="DS112" s="56"/>
      <c r="DT112" s="56"/>
      <c r="DU112" s="56"/>
      <c r="DV112" s="56"/>
      <c r="DW112" s="56"/>
      <c r="DX112" s="56"/>
      <c r="DY112" s="56"/>
      <c r="DZ112" s="56"/>
      <c r="EA112" s="56"/>
      <c r="EB112" s="56"/>
      <c r="EC112" s="56"/>
      <c r="ED112" s="56"/>
      <c r="EE112" s="56"/>
      <c r="EF112" s="56"/>
      <c r="EG112" s="56"/>
      <c r="EH112" s="56"/>
      <c r="EI112" s="56"/>
      <c r="EJ112" s="56"/>
      <c r="EK112" s="56"/>
      <c r="EL112" s="56"/>
      <c r="EM112" s="56"/>
      <c r="EN112" s="56"/>
      <c r="EO112" s="56"/>
      <c r="EP112" s="56"/>
      <c r="EQ112" s="56"/>
      <c r="ER112" s="56"/>
      <c r="ES112" s="56"/>
      <c r="ET112" s="56"/>
      <c r="EU112" s="56"/>
      <c r="EV112" s="56"/>
      <c r="EW112" s="56"/>
      <c r="EX112" s="56"/>
      <c r="EY112" s="56"/>
      <c r="EZ112" s="56"/>
      <c r="FA112" s="56"/>
    </row>
    <row r="113" spans="1:157" x14ac:dyDescent="0.35">
      <c r="A113" s="65" t="str">
        <f t="shared" si="10"/>
        <v/>
      </c>
      <c r="B113" s="68" t="str">
        <f>Stoff!A113</f>
        <v>nystoff 27</v>
      </c>
      <c r="C113" s="67">
        <f t="shared" si="11"/>
        <v>0</v>
      </c>
      <c r="D113" s="55">
        <f t="shared" si="12"/>
        <v>0</v>
      </c>
      <c r="E113" s="55" t="e">
        <f t="shared" si="13"/>
        <v>#DIV/0!</v>
      </c>
      <c r="F113" s="66" t="e">
        <f t="shared" si="14"/>
        <v>#NUM!</v>
      </c>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c r="DH113" s="56"/>
      <c r="DI113" s="56"/>
      <c r="DJ113" s="56"/>
      <c r="DK113" s="56"/>
      <c r="DL113" s="56"/>
      <c r="DM113" s="56"/>
      <c r="DN113" s="56"/>
      <c r="DO113" s="56"/>
      <c r="DP113" s="56"/>
      <c r="DQ113" s="56"/>
      <c r="DR113" s="56"/>
      <c r="DS113" s="56"/>
      <c r="DT113" s="56"/>
      <c r="DU113" s="56"/>
      <c r="DV113" s="56"/>
      <c r="DW113" s="56"/>
      <c r="DX113" s="56"/>
      <c r="DY113" s="56"/>
      <c r="DZ113" s="56"/>
      <c r="EA113" s="56"/>
      <c r="EB113" s="56"/>
      <c r="EC113" s="56"/>
      <c r="ED113" s="56"/>
      <c r="EE113" s="56"/>
      <c r="EF113" s="56"/>
      <c r="EG113" s="56"/>
      <c r="EH113" s="56"/>
      <c r="EI113" s="56"/>
      <c r="EJ113" s="56"/>
      <c r="EK113" s="56"/>
      <c r="EL113" s="56"/>
      <c r="EM113" s="56"/>
      <c r="EN113" s="56"/>
      <c r="EO113" s="56"/>
      <c r="EP113" s="56"/>
      <c r="EQ113" s="56"/>
      <c r="ER113" s="56"/>
      <c r="ES113" s="56"/>
      <c r="ET113" s="56"/>
      <c r="EU113" s="56"/>
      <c r="EV113" s="56"/>
      <c r="EW113" s="56"/>
      <c r="EX113" s="56"/>
      <c r="EY113" s="56"/>
      <c r="EZ113" s="56"/>
      <c r="FA113" s="56"/>
    </row>
    <row r="114" spans="1:157" x14ac:dyDescent="0.35">
      <c r="A114" s="65" t="str">
        <f t="shared" si="10"/>
        <v/>
      </c>
      <c r="B114" s="68" t="str">
        <f>Stoff!A114</f>
        <v>nystoff 28</v>
      </c>
      <c r="C114" s="67">
        <f t="shared" si="11"/>
        <v>0</v>
      </c>
      <c r="D114" s="55">
        <f t="shared" si="12"/>
        <v>0</v>
      </c>
      <c r="E114" s="55" t="e">
        <f t="shared" si="13"/>
        <v>#DIV/0!</v>
      </c>
      <c r="F114" s="66" t="e">
        <f t="shared" si="14"/>
        <v>#NUM!</v>
      </c>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c r="EA114" s="56"/>
      <c r="EB114" s="56"/>
      <c r="EC114" s="56"/>
      <c r="ED114" s="56"/>
      <c r="EE114" s="56"/>
      <c r="EF114" s="56"/>
      <c r="EG114" s="56"/>
      <c r="EH114" s="56"/>
      <c r="EI114" s="56"/>
      <c r="EJ114" s="56"/>
      <c r="EK114" s="56"/>
      <c r="EL114" s="56"/>
      <c r="EM114" s="56"/>
      <c r="EN114" s="56"/>
      <c r="EO114" s="56"/>
      <c r="EP114" s="56"/>
      <c r="EQ114" s="56"/>
      <c r="ER114" s="56"/>
      <c r="ES114" s="56"/>
      <c r="ET114" s="56"/>
      <c r="EU114" s="56"/>
      <c r="EV114" s="56"/>
      <c r="EW114" s="56"/>
      <c r="EX114" s="56"/>
      <c r="EY114" s="56"/>
      <c r="EZ114" s="56"/>
      <c r="FA114" s="56"/>
    </row>
  </sheetData>
  <sheetProtection sheet="1" objects="1" scenarios="1" selectLockedCells="1"/>
  <mergeCells count="4">
    <mergeCell ref="C1:E2"/>
    <mergeCell ref="F1:F2"/>
    <mergeCell ref="G1:L2"/>
    <mergeCell ref="B2:B3"/>
  </mergeCells>
  <conditionalFormatting sqref="D4:F114">
    <cfRule type="expression" dxfId="59" priority="7" stopIfTrue="1">
      <formula>$D4=0</formula>
    </cfRule>
  </conditionalFormatting>
  <conditionalFormatting sqref="BJ4:IV37 BJ38:FA51 G4:BI51">
    <cfRule type="cellIs" dxfId="58" priority="8" stopIfTrue="1" operator="equal">
      <formula>0</formula>
    </cfRule>
  </conditionalFormatting>
  <conditionalFormatting sqref="C4:C69">
    <cfRule type="expression" dxfId="57" priority="9" stopIfTrue="1">
      <formula>C4=0</formula>
    </cfRule>
  </conditionalFormatting>
  <conditionalFormatting sqref="G52:FA69">
    <cfRule type="cellIs" dxfId="56" priority="6" stopIfTrue="1" operator="equal">
      <formula>0</formula>
    </cfRule>
  </conditionalFormatting>
  <conditionalFormatting sqref="C70:C114">
    <cfRule type="expression" dxfId="55" priority="5" stopIfTrue="1">
      <formula>C70=0</formula>
    </cfRule>
  </conditionalFormatting>
  <conditionalFormatting sqref="G70:FA114">
    <cfRule type="cellIs" dxfId="54" priority="4" stopIfTrue="1" operator="equal">
      <formula>0</formula>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42"/>
  </sheetPr>
  <dimension ref="A1:IV114"/>
  <sheetViews>
    <sheetView workbookViewId="0">
      <selection activeCell="G86" sqref="G86"/>
    </sheetView>
  </sheetViews>
  <sheetFormatPr baseColWidth="10" defaultColWidth="11.453125" defaultRowHeight="14.5" x14ac:dyDescent="0.35"/>
  <cols>
    <col min="1" max="1" width="2.81640625" style="64" customWidth="1"/>
    <col min="2" max="2" width="48.7265625" style="65" customWidth="1"/>
    <col min="3" max="3" width="7" style="57" customWidth="1"/>
    <col min="4" max="4" width="10.81640625" style="57" customWidth="1"/>
    <col min="5" max="5" width="12.26953125" style="57" customWidth="1"/>
    <col min="6" max="6" width="16.26953125" style="57" customWidth="1"/>
    <col min="7" max="7" width="9.54296875" style="55" customWidth="1"/>
    <col min="8" max="15" width="9.54296875" style="57" customWidth="1"/>
    <col min="16" max="18" width="10" style="57" customWidth="1"/>
    <col min="19" max="137" width="9.1796875" style="57" customWidth="1"/>
    <col min="138" max="256" width="11.453125" style="64"/>
  </cols>
  <sheetData>
    <row r="1" spans="1:247" ht="15" customHeight="1" x14ac:dyDescent="0.35">
      <c r="B1" s="78"/>
      <c r="C1" s="379" t="s">
        <v>493</v>
      </c>
      <c r="D1" s="379"/>
      <c r="E1" s="379"/>
      <c r="F1" s="380" t="s">
        <v>465</v>
      </c>
      <c r="G1" s="382" t="s">
        <v>766</v>
      </c>
      <c r="H1" s="383"/>
      <c r="I1" s="383"/>
      <c r="J1" s="383"/>
      <c r="K1" s="383"/>
      <c r="L1" s="384"/>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row>
    <row r="2" spans="1:247" x14ac:dyDescent="0.35">
      <c r="A2" s="64" t="s">
        <v>137</v>
      </c>
      <c r="B2" s="388" t="s">
        <v>211</v>
      </c>
      <c r="C2" s="379"/>
      <c r="D2" s="379"/>
      <c r="E2" s="379"/>
      <c r="F2" s="381"/>
      <c r="G2" s="385"/>
      <c r="H2" s="386"/>
      <c r="I2" s="386"/>
      <c r="J2" s="386"/>
      <c r="K2" s="386"/>
      <c r="L2" s="387"/>
      <c r="M2" s="77"/>
      <c r="N2" s="77"/>
      <c r="O2" s="77"/>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row>
    <row r="3" spans="1:247" ht="69" x14ac:dyDescent="0.35">
      <c r="A3" s="65" t="s">
        <v>137</v>
      </c>
      <c r="B3" s="388"/>
      <c r="C3" s="74" t="s">
        <v>464</v>
      </c>
      <c r="D3" s="74" t="s">
        <v>492</v>
      </c>
      <c r="E3" s="74" t="s">
        <v>494</v>
      </c>
      <c r="F3" s="74" t="s">
        <v>495</v>
      </c>
      <c r="G3" s="73" t="s">
        <v>463</v>
      </c>
      <c r="H3" s="73" t="s">
        <v>462</v>
      </c>
      <c r="I3" s="73" t="s">
        <v>461</v>
      </c>
      <c r="J3" s="73" t="s">
        <v>460</v>
      </c>
      <c r="K3" s="73" t="s">
        <v>459</v>
      </c>
      <c r="L3" s="73" t="s">
        <v>458</v>
      </c>
      <c r="M3" s="73" t="s">
        <v>457</v>
      </c>
      <c r="N3" s="73" t="s">
        <v>456</v>
      </c>
      <c r="O3" s="73" t="s">
        <v>455</v>
      </c>
      <c r="P3" s="73" t="s">
        <v>454</v>
      </c>
      <c r="Q3" s="73" t="s">
        <v>453</v>
      </c>
      <c r="R3" s="73" t="s">
        <v>452</v>
      </c>
      <c r="S3" s="73" t="s">
        <v>451</v>
      </c>
      <c r="T3" s="73" t="s">
        <v>450</v>
      </c>
      <c r="U3" s="73" t="s">
        <v>449</v>
      </c>
      <c r="V3" s="73" t="s">
        <v>448</v>
      </c>
      <c r="W3" s="73" t="s">
        <v>447</v>
      </c>
      <c r="X3" s="73" t="s">
        <v>446</v>
      </c>
      <c r="Y3" s="73" t="s">
        <v>445</v>
      </c>
      <c r="Z3" s="73" t="s">
        <v>444</v>
      </c>
      <c r="AA3" s="73" t="s">
        <v>443</v>
      </c>
      <c r="AB3" s="73" t="s">
        <v>442</v>
      </c>
      <c r="AC3" s="73" t="s">
        <v>441</v>
      </c>
      <c r="AD3" s="73" t="s">
        <v>440</v>
      </c>
      <c r="AE3" s="73" t="s">
        <v>439</v>
      </c>
      <c r="AF3" s="73" t="s">
        <v>438</v>
      </c>
      <c r="AG3" s="73" t="s">
        <v>437</v>
      </c>
      <c r="AH3" s="73" t="s">
        <v>436</v>
      </c>
      <c r="AI3" s="73" t="s">
        <v>435</v>
      </c>
      <c r="AJ3" s="73" t="s">
        <v>434</v>
      </c>
      <c r="AK3" s="73" t="s">
        <v>433</v>
      </c>
      <c r="AL3" s="73" t="s">
        <v>432</v>
      </c>
      <c r="AM3" s="73" t="s">
        <v>431</v>
      </c>
      <c r="AN3" s="73" t="s">
        <v>430</v>
      </c>
      <c r="AO3" s="73" t="s">
        <v>429</v>
      </c>
      <c r="AP3" s="73" t="s">
        <v>428</v>
      </c>
      <c r="AQ3" s="73" t="s">
        <v>427</v>
      </c>
      <c r="AR3" s="73" t="s">
        <v>426</v>
      </c>
      <c r="AS3" s="73" t="s">
        <v>425</v>
      </c>
      <c r="AT3" s="73" t="s">
        <v>424</v>
      </c>
      <c r="AU3" s="73" t="s">
        <v>423</v>
      </c>
      <c r="AV3" s="73" t="s">
        <v>422</v>
      </c>
      <c r="AW3" s="73" t="s">
        <v>421</v>
      </c>
      <c r="AX3" s="73" t="s">
        <v>420</v>
      </c>
      <c r="AY3" s="73" t="s">
        <v>419</v>
      </c>
      <c r="AZ3" s="73" t="s">
        <v>418</v>
      </c>
      <c r="BA3" s="73" t="s">
        <v>417</v>
      </c>
      <c r="BB3" s="73" t="s">
        <v>416</v>
      </c>
      <c r="BC3" s="73" t="s">
        <v>415</v>
      </c>
      <c r="BD3" s="73" t="s">
        <v>414</v>
      </c>
      <c r="BE3" s="73" t="s">
        <v>413</v>
      </c>
      <c r="BF3" s="73" t="s">
        <v>412</v>
      </c>
      <c r="BG3" s="73" t="s">
        <v>411</v>
      </c>
      <c r="BH3" s="73" t="s">
        <v>410</v>
      </c>
      <c r="BI3" s="73" t="s">
        <v>409</v>
      </c>
      <c r="BJ3" s="73" t="s">
        <v>408</v>
      </c>
      <c r="BK3" s="73" t="s">
        <v>407</v>
      </c>
      <c r="BL3" s="73" t="s">
        <v>406</v>
      </c>
      <c r="BM3" s="73" t="s">
        <v>405</v>
      </c>
      <c r="BN3" s="73" t="s">
        <v>404</v>
      </c>
      <c r="BO3" s="73" t="s">
        <v>403</v>
      </c>
      <c r="BP3" s="73" t="s">
        <v>402</v>
      </c>
      <c r="BQ3" s="73" t="s">
        <v>401</v>
      </c>
      <c r="BR3" s="73" t="s">
        <v>400</v>
      </c>
      <c r="BS3" s="73" t="s">
        <v>399</v>
      </c>
      <c r="BT3" s="73" t="s">
        <v>398</v>
      </c>
      <c r="BU3" s="73" t="s">
        <v>397</v>
      </c>
      <c r="BV3" s="73" t="s">
        <v>396</v>
      </c>
      <c r="BW3" s="73" t="s">
        <v>395</v>
      </c>
      <c r="BX3" s="73" t="s">
        <v>394</v>
      </c>
      <c r="BY3" s="73" t="s">
        <v>393</v>
      </c>
      <c r="BZ3" s="73" t="s">
        <v>392</v>
      </c>
      <c r="CA3" s="73" t="s">
        <v>391</v>
      </c>
      <c r="CB3" s="73" t="s">
        <v>390</v>
      </c>
      <c r="CC3" s="73" t="s">
        <v>389</v>
      </c>
      <c r="CD3" s="73" t="s">
        <v>388</v>
      </c>
      <c r="CE3" s="73" t="s">
        <v>387</v>
      </c>
      <c r="CF3" s="73" t="s">
        <v>386</v>
      </c>
      <c r="CG3" s="73" t="s">
        <v>385</v>
      </c>
      <c r="CH3" s="73" t="s">
        <v>384</v>
      </c>
      <c r="CI3" s="73" t="s">
        <v>383</v>
      </c>
      <c r="CJ3" s="73" t="s">
        <v>382</v>
      </c>
      <c r="CK3" s="73" t="s">
        <v>381</v>
      </c>
      <c r="CL3" s="73" t="s">
        <v>380</v>
      </c>
      <c r="CM3" s="73" t="s">
        <v>379</v>
      </c>
      <c r="CN3" s="73" t="s">
        <v>378</v>
      </c>
      <c r="CO3" s="73" t="s">
        <v>377</v>
      </c>
      <c r="CP3" s="73" t="s">
        <v>376</v>
      </c>
      <c r="CQ3" s="73" t="s">
        <v>375</v>
      </c>
      <c r="CR3" s="73" t="s">
        <v>374</v>
      </c>
      <c r="CS3" s="73" t="s">
        <v>373</v>
      </c>
      <c r="CT3" s="73" t="s">
        <v>372</v>
      </c>
      <c r="CU3" s="73" t="s">
        <v>371</v>
      </c>
      <c r="CV3" s="73" t="s">
        <v>370</v>
      </c>
      <c r="CW3" s="73" t="s">
        <v>369</v>
      </c>
      <c r="CX3" s="73" t="s">
        <v>368</v>
      </c>
      <c r="CY3" s="73" t="s">
        <v>367</v>
      </c>
      <c r="CZ3" s="73" t="s">
        <v>366</v>
      </c>
      <c r="DA3" s="73" t="s">
        <v>365</v>
      </c>
      <c r="DB3" s="73" t="s">
        <v>364</v>
      </c>
      <c r="DC3" s="73" t="s">
        <v>363</v>
      </c>
      <c r="DD3" s="73" t="s">
        <v>362</v>
      </c>
      <c r="DE3" s="73" t="s">
        <v>361</v>
      </c>
      <c r="DF3" s="73" t="s">
        <v>360</v>
      </c>
      <c r="DG3" s="73" t="s">
        <v>359</v>
      </c>
      <c r="DH3" s="73" t="s">
        <v>358</v>
      </c>
      <c r="DI3" s="73" t="s">
        <v>357</v>
      </c>
      <c r="DJ3" s="73" t="s">
        <v>356</v>
      </c>
      <c r="DK3" s="73" t="s">
        <v>355</v>
      </c>
      <c r="DL3" s="73" t="s">
        <v>354</v>
      </c>
      <c r="DM3" s="73" t="s">
        <v>353</v>
      </c>
      <c r="DN3" s="73" t="s">
        <v>352</v>
      </c>
      <c r="DO3" s="73" t="s">
        <v>351</v>
      </c>
      <c r="DP3" s="73" t="s">
        <v>350</v>
      </c>
      <c r="DQ3" s="73" t="s">
        <v>349</v>
      </c>
      <c r="DR3" s="73" t="s">
        <v>348</v>
      </c>
      <c r="DS3" s="73" t="s">
        <v>347</v>
      </c>
      <c r="DT3" s="73" t="s">
        <v>346</v>
      </c>
      <c r="DU3" s="73" t="s">
        <v>345</v>
      </c>
      <c r="DV3" s="73" t="s">
        <v>344</v>
      </c>
      <c r="DW3" s="73" t="s">
        <v>343</v>
      </c>
      <c r="DX3" s="73" t="s">
        <v>342</v>
      </c>
      <c r="DY3" s="73" t="s">
        <v>341</v>
      </c>
      <c r="DZ3" s="73" t="s">
        <v>340</v>
      </c>
      <c r="EA3" s="73" t="s">
        <v>339</v>
      </c>
      <c r="EB3" s="73" t="s">
        <v>338</v>
      </c>
      <c r="EC3" s="73" t="s">
        <v>337</v>
      </c>
      <c r="ED3" s="73" t="s">
        <v>336</v>
      </c>
      <c r="EE3" s="73" t="s">
        <v>335</v>
      </c>
      <c r="EF3" s="73" t="s">
        <v>334</v>
      </c>
      <c r="EG3" s="73" t="s">
        <v>333</v>
      </c>
      <c r="EH3" s="73" t="s">
        <v>332</v>
      </c>
      <c r="EI3" s="73" t="s">
        <v>331</v>
      </c>
      <c r="EJ3" s="73" t="s">
        <v>330</v>
      </c>
      <c r="EK3" s="73" t="s">
        <v>329</v>
      </c>
      <c r="EL3" s="73" t="s">
        <v>328</v>
      </c>
      <c r="EM3" s="73" t="s">
        <v>327</v>
      </c>
      <c r="EN3" s="73" t="s">
        <v>326</v>
      </c>
      <c r="EO3" s="73" t="s">
        <v>325</v>
      </c>
      <c r="EP3" s="73" t="s">
        <v>324</v>
      </c>
      <c r="EQ3" s="73" t="s">
        <v>323</v>
      </c>
      <c r="ER3" s="73" t="s">
        <v>322</v>
      </c>
      <c r="ES3" s="73" t="s">
        <v>321</v>
      </c>
      <c r="ET3" s="73" t="s">
        <v>320</v>
      </c>
      <c r="EU3" s="73" t="s">
        <v>319</v>
      </c>
      <c r="EV3" s="73" t="s">
        <v>318</v>
      </c>
      <c r="EW3" s="73" t="s">
        <v>317</v>
      </c>
      <c r="EX3" s="73" t="s">
        <v>316</v>
      </c>
      <c r="EY3" s="73" t="s">
        <v>315</v>
      </c>
      <c r="EZ3" s="73" t="s">
        <v>314</v>
      </c>
      <c r="FA3" s="73" t="s">
        <v>313</v>
      </c>
      <c r="FB3" s="73" t="s">
        <v>312</v>
      </c>
      <c r="FC3" s="73" t="s">
        <v>311</v>
      </c>
      <c r="FD3" s="73" t="s">
        <v>310</v>
      </c>
      <c r="FE3" s="73" t="s">
        <v>309</v>
      </c>
      <c r="FF3" s="73" t="s">
        <v>308</v>
      </c>
      <c r="FG3" s="73" t="s">
        <v>307</v>
      </c>
      <c r="FH3" s="73" t="s">
        <v>306</v>
      </c>
      <c r="FI3" s="73" t="s">
        <v>305</v>
      </c>
      <c r="FJ3" s="73" t="s">
        <v>304</v>
      </c>
      <c r="FK3" s="73" t="s">
        <v>303</v>
      </c>
      <c r="FL3" s="73" t="s">
        <v>302</v>
      </c>
      <c r="FM3" s="73" t="s">
        <v>301</v>
      </c>
      <c r="FN3" s="73" t="s">
        <v>300</v>
      </c>
      <c r="FO3" s="73" t="s">
        <v>299</v>
      </c>
      <c r="FP3" s="73" t="s">
        <v>298</v>
      </c>
      <c r="FQ3" s="73" t="s">
        <v>297</v>
      </c>
      <c r="FR3" s="73" t="s">
        <v>296</v>
      </c>
      <c r="FS3" s="73" t="s">
        <v>295</v>
      </c>
      <c r="FT3" s="73" t="s">
        <v>294</v>
      </c>
      <c r="FU3" s="73" t="s">
        <v>293</v>
      </c>
      <c r="FV3" s="73" t="s">
        <v>292</v>
      </c>
      <c r="FW3" s="73" t="s">
        <v>291</v>
      </c>
      <c r="FX3" s="73" t="s">
        <v>290</v>
      </c>
      <c r="FY3" s="73" t="s">
        <v>289</v>
      </c>
      <c r="FZ3" s="73" t="s">
        <v>288</v>
      </c>
      <c r="GA3" s="73" t="s">
        <v>287</v>
      </c>
      <c r="GB3" s="73" t="s">
        <v>286</v>
      </c>
      <c r="GC3" s="73" t="s">
        <v>285</v>
      </c>
      <c r="GD3" s="73" t="s">
        <v>284</v>
      </c>
      <c r="GE3" s="73" t="s">
        <v>283</v>
      </c>
      <c r="GF3" s="73" t="s">
        <v>282</v>
      </c>
      <c r="GG3" s="73" t="s">
        <v>281</v>
      </c>
      <c r="GH3" s="73" t="s">
        <v>280</v>
      </c>
      <c r="GI3" s="73" t="s">
        <v>279</v>
      </c>
      <c r="GJ3" s="73" t="s">
        <v>278</v>
      </c>
      <c r="GK3" s="73" t="s">
        <v>277</v>
      </c>
      <c r="GL3" s="73" t="s">
        <v>276</v>
      </c>
      <c r="GM3" s="73" t="s">
        <v>275</v>
      </c>
      <c r="GN3" s="73" t="s">
        <v>274</v>
      </c>
      <c r="GO3" s="73" t="s">
        <v>273</v>
      </c>
      <c r="GP3" s="73" t="s">
        <v>272</v>
      </c>
      <c r="GQ3" s="73" t="s">
        <v>271</v>
      </c>
      <c r="GR3" s="73" t="s">
        <v>270</v>
      </c>
      <c r="GS3" s="73" t="s">
        <v>269</v>
      </c>
      <c r="GT3" s="73" t="s">
        <v>268</v>
      </c>
      <c r="GU3" s="73" t="s">
        <v>267</v>
      </c>
      <c r="GV3" s="73" t="s">
        <v>266</v>
      </c>
      <c r="GW3" s="73" t="s">
        <v>265</v>
      </c>
      <c r="GX3" s="73" t="s">
        <v>264</v>
      </c>
      <c r="GY3" s="73" t="s">
        <v>263</v>
      </c>
      <c r="GZ3" s="73" t="s">
        <v>262</v>
      </c>
      <c r="HA3" s="73" t="s">
        <v>261</v>
      </c>
      <c r="HB3" s="73" t="s">
        <v>260</v>
      </c>
      <c r="HC3" s="73" t="s">
        <v>259</v>
      </c>
      <c r="HD3" s="73" t="s">
        <v>258</v>
      </c>
      <c r="HE3" s="73" t="s">
        <v>257</v>
      </c>
      <c r="HF3" s="73" t="s">
        <v>256</v>
      </c>
      <c r="HG3" s="73" t="s">
        <v>255</v>
      </c>
      <c r="HH3" s="73" t="s">
        <v>254</v>
      </c>
      <c r="HI3" s="73" t="s">
        <v>253</v>
      </c>
      <c r="HJ3" s="73" t="s">
        <v>252</v>
      </c>
      <c r="HK3" s="73" t="s">
        <v>251</v>
      </c>
      <c r="HL3" s="73" t="s">
        <v>250</v>
      </c>
      <c r="HM3" s="73" t="s">
        <v>249</v>
      </c>
      <c r="HN3" s="73" t="s">
        <v>248</v>
      </c>
      <c r="HO3" s="73" t="s">
        <v>247</v>
      </c>
      <c r="HP3" s="73" t="s">
        <v>246</v>
      </c>
      <c r="HQ3" s="73" t="s">
        <v>245</v>
      </c>
      <c r="HR3" s="73" t="s">
        <v>244</v>
      </c>
      <c r="HS3" s="73" t="s">
        <v>243</v>
      </c>
      <c r="HT3" s="73" t="s">
        <v>242</v>
      </c>
      <c r="HU3" s="73" t="s">
        <v>241</v>
      </c>
      <c r="HV3" s="73" t="s">
        <v>240</v>
      </c>
      <c r="HW3" s="73" t="s">
        <v>239</v>
      </c>
      <c r="HX3" s="73" t="s">
        <v>238</v>
      </c>
      <c r="HY3" s="73" t="s">
        <v>237</v>
      </c>
      <c r="HZ3" s="73" t="s">
        <v>236</v>
      </c>
      <c r="IA3" s="73" t="s">
        <v>235</v>
      </c>
      <c r="IB3" s="73" t="s">
        <v>234</v>
      </c>
      <c r="IC3" s="73" t="s">
        <v>233</v>
      </c>
      <c r="ID3" s="73" t="s">
        <v>232</v>
      </c>
      <c r="IE3" s="73" t="s">
        <v>231</v>
      </c>
      <c r="IF3" s="73" t="s">
        <v>230</v>
      </c>
      <c r="IG3" s="73" t="s">
        <v>229</v>
      </c>
      <c r="IH3" s="73" t="s">
        <v>228</v>
      </c>
      <c r="II3" s="73" t="s">
        <v>227</v>
      </c>
      <c r="IJ3" s="73" t="s">
        <v>226</v>
      </c>
      <c r="IK3" s="73" t="s">
        <v>225</v>
      </c>
      <c r="IL3" s="73" t="s">
        <v>224</v>
      </c>
      <c r="IM3" s="73" t="s">
        <v>223</v>
      </c>
    </row>
    <row r="4" spans="1:247" x14ac:dyDescent="0.35">
      <c r="A4" s="65" t="str">
        <f t="shared" ref="A4:A67" si="0">IF(C4&gt;0,"x","")</f>
        <v/>
      </c>
      <c r="B4" s="68" t="str">
        <f>Stoff!A4</f>
        <v>Arsen</v>
      </c>
      <c r="C4" s="67">
        <f t="shared" ref="C4:C67" si="1">COUNT(G4:IV4)</f>
        <v>0</v>
      </c>
      <c r="D4" s="55">
        <f t="shared" ref="D4:D67" si="2">MAXA(G4:IV4)</f>
        <v>0</v>
      </c>
      <c r="E4" s="55" t="e">
        <f t="shared" ref="E4:E67" si="3">AVERAGE(G4:IV4)</f>
        <v>#DIV/0!</v>
      </c>
      <c r="F4" s="66" t="e">
        <f t="shared" ref="F4:F67" si="4">D4/MEDIAN(G4:IV4)</f>
        <v>#NUM!</v>
      </c>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70"/>
      <c r="EE4" s="70"/>
      <c r="EF4" s="70"/>
      <c r="EG4" s="70"/>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row>
    <row r="5" spans="1:247" x14ac:dyDescent="0.35">
      <c r="A5" s="65" t="str">
        <f t="shared" si="0"/>
        <v/>
      </c>
      <c r="B5" s="68" t="str">
        <f>Stoff!A5</f>
        <v>Bly</v>
      </c>
      <c r="C5" s="67">
        <f t="shared" si="1"/>
        <v>0</v>
      </c>
      <c r="D5" s="55">
        <f t="shared" si="2"/>
        <v>0</v>
      </c>
      <c r="E5" s="55" t="e">
        <f t="shared" si="3"/>
        <v>#DIV/0!</v>
      </c>
      <c r="F5" s="66" t="e">
        <f t="shared" si="4"/>
        <v>#NUM!</v>
      </c>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70"/>
      <c r="EE5" s="70"/>
      <c r="EF5" s="70"/>
      <c r="EG5" s="70"/>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row>
    <row r="6" spans="1:247" x14ac:dyDescent="0.35">
      <c r="A6" s="65" t="str">
        <f t="shared" si="0"/>
        <v/>
      </c>
      <c r="B6" s="68" t="str">
        <f>Stoff!A6</f>
        <v>Kadmium</v>
      </c>
      <c r="C6" s="67">
        <f t="shared" si="1"/>
        <v>0</v>
      </c>
      <c r="D6" s="55">
        <f t="shared" si="2"/>
        <v>0</v>
      </c>
      <c r="E6" s="55" t="e">
        <f t="shared" si="3"/>
        <v>#DIV/0!</v>
      </c>
      <c r="F6" s="66" t="e">
        <f t="shared" si="4"/>
        <v>#NUM!</v>
      </c>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70"/>
      <c r="EE6" s="70"/>
      <c r="EF6" s="70"/>
      <c r="EG6" s="70"/>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row>
    <row r="7" spans="1:247" x14ac:dyDescent="0.35">
      <c r="A7" s="65" t="str">
        <f t="shared" si="0"/>
        <v/>
      </c>
      <c r="B7" s="68" t="str">
        <f>Stoff!A7</f>
        <v>Kvikksølv</v>
      </c>
      <c r="C7" s="67">
        <f t="shared" si="1"/>
        <v>0</v>
      </c>
      <c r="D7" s="55">
        <f t="shared" si="2"/>
        <v>0</v>
      </c>
      <c r="E7" s="55" t="e">
        <f t="shared" si="3"/>
        <v>#DIV/0!</v>
      </c>
      <c r="F7" s="66" t="e">
        <f t="shared" si="4"/>
        <v>#NUM!</v>
      </c>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70"/>
      <c r="EE7" s="70"/>
      <c r="EF7" s="70"/>
      <c r="EG7" s="70"/>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row>
    <row r="8" spans="1:247" x14ac:dyDescent="0.35">
      <c r="A8" s="65" t="str">
        <f t="shared" si="0"/>
        <v/>
      </c>
      <c r="B8" s="68" t="str">
        <f>Stoff!A8</f>
        <v>Kobber</v>
      </c>
      <c r="C8" s="67">
        <f t="shared" si="1"/>
        <v>0</v>
      </c>
      <c r="D8" s="55">
        <f t="shared" si="2"/>
        <v>0</v>
      </c>
      <c r="E8" s="55" t="e">
        <f t="shared" si="3"/>
        <v>#DIV/0!</v>
      </c>
      <c r="F8" s="66" t="e">
        <f t="shared" si="4"/>
        <v>#NUM!</v>
      </c>
      <c r="G8" s="56"/>
      <c r="H8" s="56"/>
      <c r="I8" s="56"/>
      <c r="J8" s="56"/>
      <c r="K8" s="56"/>
      <c r="L8" s="72"/>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70"/>
      <c r="EE8" s="70"/>
      <c r="EF8" s="70"/>
      <c r="EG8" s="70"/>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row>
    <row r="9" spans="1:247" x14ac:dyDescent="0.35">
      <c r="A9" s="65" t="str">
        <f t="shared" si="0"/>
        <v/>
      </c>
      <c r="B9" s="68" t="str">
        <f>Stoff!A9</f>
        <v>Sink</v>
      </c>
      <c r="C9" s="67">
        <f t="shared" si="1"/>
        <v>0</v>
      </c>
      <c r="D9" s="55">
        <f t="shared" si="2"/>
        <v>0</v>
      </c>
      <c r="E9" s="55" t="e">
        <f t="shared" si="3"/>
        <v>#DIV/0!</v>
      </c>
      <c r="F9" s="66" t="e">
        <f t="shared" si="4"/>
        <v>#NUM!</v>
      </c>
      <c r="G9" s="56"/>
      <c r="H9" s="56"/>
      <c r="I9" s="56"/>
      <c r="J9" s="56"/>
      <c r="K9" s="56"/>
      <c r="L9" s="72"/>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70"/>
      <c r="EE9" s="70"/>
      <c r="EF9" s="70"/>
      <c r="EG9" s="70"/>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row>
    <row r="10" spans="1:247" x14ac:dyDescent="0.35">
      <c r="A10" s="65" t="str">
        <f t="shared" si="0"/>
        <v/>
      </c>
      <c r="B10" s="68" t="str">
        <f>Stoff!A10</f>
        <v>Krom (III)</v>
      </c>
      <c r="C10" s="67">
        <f t="shared" si="1"/>
        <v>0</v>
      </c>
      <c r="D10" s="55">
        <f t="shared" si="2"/>
        <v>0</v>
      </c>
      <c r="E10" s="55" t="e">
        <f t="shared" si="3"/>
        <v>#DIV/0!</v>
      </c>
      <c r="F10" s="66" t="e">
        <f t="shared" si="4"/>
        <v>#NUM!</v>
      </c>
      <c r="G10" s="56"/>
      <c r="H10" s="56"/>
      <c r="I10" s="56"/>
      <c r="J10" s="56"/>
      <c r="K10" s="56"/>
      <c r="L10" s="72"/>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70"/>
      <c r="EE10" s="70"/>
      <c r="EF10" s="70"/>
      <c r="EG10" s="70"/>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row>
    <row r="11" spans="1:247" x14ac:dyDescent="0.35">
      <c r="A11" s="65" t="str">
        <f t="shared" si="0"/>
        <v/>
      </c>
      <c r="B11" s="68" t="str">
        <f>Stoff!A11</f>
        <v>Krom (VI)</v>
      </c>
      <c r="C11" s="67">
        <f t="shared" si="1"/>
        <v>0</v>
      </c>
      <c r="D11" s="55">
        <f t="shared" si="2"/>
        <v>0</v>
      </c>
      <c r="E11" s="55" t="e">
        <f t="shared" si="3"/>
        <v>#DIV/0!</v>
      </c>
      <c r="F11" s="66" t="e">
        <f t="shared" si="4"/>
        <v>#NUM!</v>
      </c>
      <c r="G11" s="56"/>
      <c r="H11" s="56"/>
      <c r="I11" s="56"/>
      <c r="J11" s="56"/>
      <c r="K11" s="56"/>
      <c r="L11" s="72"/>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70"/>
      <c r="EE11" s="70"/>
      <c r="EF11" s="70"/>
      <c r="EG11" s="70"/>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row>
    <row r="12" spans="1:247" x14ac:dyDescent="0.35">
      <c r="A12" s="65" t="str">
        <f t="shared" si="0"/>
        <v/>
      </c>
      <c r="B12" s="68" t="str">
        <f>Stoff!A12</f>
        <v>Krom totalt (III + VI)</v>
      </c>
      <c r="C12" s="67">
        <f t="shared" si="1"/>
        <v>0</v>
      </c>
      <c r="D12" s="55">
        <f t="shared" si="2"/>
        <v>0</v>
      </c>
      <c r="E12" s="55" t="e">
        <f t="shared" si="3"/>
        <v>#DIV/0!</v>
      </c>
      <c r="F12" s="66" t="e">
        <f t="shared" si="4"/>
        <v>#NUM!</v>
      </c>
      <c r="G12" s="56"/>
      <c r="H12" s="56"/>
      <c r="I12" s="56"/>
      <c r="J12" s="56"/>
      <c r="K12" s="56"/>
      <c r="L12" s="56"/>
      <c r="M12" s="56"/>
      <c r="N12" s="56"/>
      <c r="O12" s="56"/>
      <c r="P12" s="56"/>
      <c r="Q12" s="56"/>
      <c r="R12" s="56"/>
      <c r="S12" s="56"/>
      <c r="T12" s="56"/>
      <c r="U12" s="56"/>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70"/>
      <c r="EE12" s="70"/>
      <c r="EF12" s="70"/>
      <c r="EG12" s="70"/>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row>
    <row r="13" spans="1:247" x14ac:dyDescent="0.35">
      <c r="A13" s="65" t="str">
        <f t="shared" si="0"/>
        <v/>
      </c>
      <c r="B13" s="68" t="str">
        <f>Stoff!A13</f>
        <v>Nikkel</v>
      </c>
      <c r="C13" s="67">
        <f t="shared" si="1"/>
        <v>0</v>
      </c>
      <c r="D13" s="55">
        <f t="shared" si="2"/>
        <v>0</v>
      </c>
      <c r="E13" s="55" t="e">
        <f t="shared" si="3"/>
        <v>#DIV/0!</v>
      </c>
      <c r="F13" s="66" t="e">
        <f t="shared" si="4"/>
        <v>#NUM!</v>
      </c>
      <c r="G13" s="56"/>
      <c r="H13" s="56"/>
      <c r="I13" s="56"/>
      <c r="J13" s="56"/>
      <c r="K13" s="56"/>
      <c r="L13" s="56"/>
      <c r="M13" s="56"/>
      <c r="N13" s="56"/>
      <c r="O13" s="56"/>
      <c r="P13" s="56"/>
      <c r="Q13" s="56"/>
      <c r="R13" s="56"/>
      <c r="S13" s="56"/>
      <c r="T13" s="56"/>
      <c r="U13" s="56"/>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70"/>
      <c r="EE13" s="70"/>
      <c r="EF13" s="70"/>
      <c r="EG13" s="70"/>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row>
    <row r="14" spans="1:247" x14ac:dyDescent="0.35">
      <c r="A14" s="65" t="str">
        <f t="shared" si="0"/>
        <v/>
      </c>
      <c r="B14" s="68" t="str">
        <f>Stoff!A14</f>
        <v>Cyanid fri</v>
      </c>
      <c r="C14" s="67">
        <f t="shared" si="1"/>
        <v>0</v>
      </c>
      <c r="D14" s="55">
        <f t="shared" si="2"/>
        <v>0</v>
      </c>
      <c r="E14" s="55" t="e">
        <f t="shared" si="3"/>
        <v>#DIV/0!</v>
      </c>
      <c r="F14" s="66" t="e">
        <f t="shared" si="4"/>
        <v>#NUM!</v>
      </c>
      <c r="G14" s="56"/>
      <c r="H14" s="56"/>
      <c r="I14" s="56"/>
      <c r="J14" s="56"/>
      <c r="K14" s="56"/>
      <c r="L14" s="56"/>
      <c r="M14" s="56"/>
      <c r="N14" s="56"/>
      <c r="O14" s="56"/>
      <c r="P14" s="56"/>
      <c r="Q14" s="56"/>
      <c r="R14" s="56"/>
      <c r="S14" s="56"/>
      <c r="T14" s="56"/>
      <c r="U14" s="56"/>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70"/>
      <c r="EE14" s="70"/>
      <c r="EF14" s="70"/>
      <c r="EG14" s="70"/>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row>
    <row r="15" spans="1:247" x14ac:dyDescent="0.35">
      <c r="A15" s="65" t="str">
        <f t="shared" si="0"/>
        <v/>
      </c>
      <c r="B15" s="68" t="str">
        <f>Stoff!A15</f>
        <v>PCB CAS1336-36-3</v>
      </c>
      <c r="C15" s="67">
        <f t="shared" si="1"/>
        <v>0</v>
      </c>
      <c r="D15" s="55">
        <f t="shared" si="2"/>
        <v>0</v>
      </c>
      <c r="E15" s="55" t="e">
        <f t="shared" si="3"/>
        <v>#DIV/0!</v>
      </c>
      <c r="F15" s="66" t="e">
        <f t="shared" si="4"/>
        <v>#NUM!</v>
      </c>
      <c r="G15" s="56"/>
      <c r="H15" s="56"/>
      <c r="I15" s="56"/>
      <c r="J15" s="56"/>
      <c r="K15" s="56"/>
      <c r="L15" s="56"/>
      <c r="M15" s="56"/>
      <c r="N15" s="56"/>
      <c r="O15" s="56"/>
      <c r="P15" s="56"/>
      <c r="Q15" s="56"/>
      <c r="R15" s="56"/>
      <c r="S15" s="56"/>
      <c r="T15" s="56"/>
      <c r="U15" s="56"/>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70"/>
      <c r="EE15" s="70"/>
      <c r="EF15" s="70"/>
      <c r="EG15" s="70"/>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row>
    <row r="16" spans="1:247" x14ac:dyDescent="0.35">
      <c r="A16" s="65" t="str">
        <f t="shared" si="0"/>
        <v/>
      </c>
      <c r="B16" s="68" t="str">
        <f>Stoff!A16</f>
        <v>Lindan</v>
      </c>
      <c r="C16" s="67">
        <f t="shared" si="1"/>
        <v>0</v>
      </c>
      <c r="D16" s="55">
        <f t="shared" si="2"/>
        <v>0</v>
      </c>
      <c r="E16" s="55" t="e">
        <f t="shared" si="3"/>
        <v>#DIV/0!</v>
      </c>
      <c r="F16" s="66" t="e">
        <f t="shared" si="4"/>
        <v>#NUM!</v>
      </c>
      <c r="G16" s="56"/>
      <c r="H16" s="56"/>
      <c r="I16" s="56"/>
      <c r="J16" s="56"/>
      <c r="K16" s="56"/>
      <c r="L16" s="56"/>
      <c r="M16" s="56"/>
      <c r="N16" s="56"/>
      <c r="O16" s="56"/>
      <c r="P16" s="56"/>
      <c r="Q16" s="56"/>
      <c r="R16" s="56"/>
      <c r="S16" s="56"/>
      <c r="T16" s="56"/>
      <c r="U16" s="56"/>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70"/>
      <c r="EE16" s="70"/>
      <c r="EF16" s="70"/>
      <c r="EG16" s="70"/>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row>
    <row r="17" spans="1:247" x14ac:dyDescent="0.35">
      <c r="A17" s="65" t="str">
        <f t="shared" si="0"/>
        <v/>
      </c>
      <c r="B17" s="68" t="str">
        <f>Stoff!A17</f>
        <v>DDT</v>
      </c>
      <c r="C17" s="67">
        <f t="shared" si="1"/>
        <v>0</v>
      </c>
      <c r="D17" s="55">
        <f t="shared" si="2"/>
        <v>0</v>
      </c>
      <c r="E17" s="55" t="e">
        <f t="shared" si="3"/>
        <v>#DIV/0!</v>
      </c>
      <c r="F17" s="66" t="e">
        <f t="shared" si="4"/>
        <v>#NUM!</v>
      </c>
      <c r="G17" s="56"/>
      <c r="H17" s="56"/>
      <c r="I17" s="56"/>
      <c r="J17" s="56"/>
      <c r="K17" s="56"/>
      <c r="L17" s="56"/>
      <c r="M17" s="56"/>
      <c r="N17" s="56"/>
      <c r="O17" s="56"/>
      <c r="P17" s="56"/>
      <c r="Q17" s="56"/>
      <c r="R17" s="56"/>
      <c r="S17" s="56"/>
      <c r="T17" s="56"/>
      <c r="U17" s="56"/>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70"/>
      <c r="EE17" s="70"/>
      <c r="EF17" s="70"/>
      <c r="EG17" s="70"/>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row>
    <row r="18" spans="1:247" x14ac:dyDescent="0.35">
      <c r="A18" s="65" t="str">
        <f t="shared" si="0"/>
        <v/>
      </c>
      <c r="B18" s="68" t="str">
        <f>Stoff!A18</f>
        <v>Monoklorbensen</v>
      </c>
      <c r="C18" s="67">
        <f t="shared" si="1"/>
        <v>0</v>
      </c>
      <c r="D18" s="55">
        <f t="shared" si="2"/>
        <v>0</v>
      </c>
      <c r="E18" s="55" t="e">
        <f t="shared" si="3"/>
        <v>#DIV/0!</v>
      </c>
      <c r="F18" s="66" t="e">
        <f t="shared" si="4"/>
        <v>#NUM!</v>
      </c>
      <c r="G18" s="56"/>
      <c r="H18" s="56"/>
      <c r="I18" s="56"/>
      <c r="J18" s="56"/>
      <c r="K18" s="56"/>
      <c r="L18" s="56"/>
      <c r="M18" s="56"/>
      <c r="N18" s="56"/>
      <c r="O18" s="56"/>
      <c r="P18" s="56"/>
      <c r="Q18" s="56"/>
      <c r="R18" s="56"/>
      <c r="S18" s="56"/>
      <c r="T18" s="56"/>
      <c r="U18" s="56"/>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70"/>
      <c r="EE18" s="70"/>
      <c r="EF18" s="70"/>
      <c r="EG18" s="70"/>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row>
    <row r="19" spans="1:247" x14ac:dyDescent="0.35">
      <c r="A19" s="65" t="str">
        <f t="shared" si="0"/>
        <v/>
      </c>
      <c r="B19" s="68" t="str">
        <f>Stoff!A19</f>
        <v>1,2-diklorbensen</v>
      </c>
      <c r="C19" s="67">
        <f t="shared" si="1"/>
        <v>0</v>
      </c>
      <c r="D19" s="55">
        <f t="shared" si="2"/>
        <v>0</v>
      </c>
      <c r="E19" s="55" t="e">
        <f t="shared" si="3"/>
        <v>#DIV/0!</v>
      </c>
      <c r="F19" s="66" t="e">
        <f t="shared" si="4"/>
        <v>#NUM!</v>
      </c>
      <c r="G19" s="56"/>
      <c r="H19" s="56"/>
      <c r="I19" s="56"/>
      <c r="J19" s="56"/>
      <c r="K19" s="56"/>
      <c r="L19" s="56"/>
      <c r="M19" s="56"/>
      <c r="N19" s="56"/>
      <c r="O19" s="56"/>
      <c r="P19" s="56"/>
      <c r="Q19" s="56"/>
      <c r="R19" s="56"/>
      <c r="S19" s="56"/>
      <c r="T19" s="56"/>
      <c r="U19" s="56"/>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70"/>
      <c r="EE19" s="70"/>
      <c r="EF19" s="70"/>
      <c r="EG19" s="70"/>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row>
    <row r="20" spans="1:247" x14ac:dyDescent="0.35">
      <c r="A20" s="65" t="str">
        <f t="shared" si="0"/>
        <v/>
      </c>
      <c r="B20" s="68" t="str">
        <f>Stoff!A20</f>
        <v>1,4-diklorbensen</v>
      </c>
      <c r="C20" s="67">
        <f t="shared" si="1"/>
        <v>0</v>
      </c>
      <c r="D20" s="55">
        <f t="shared" si="2"/>
        <v>0</v>
      </c>
      <c r="E20" s="55" t="e">
        <f t="shared" si="3"/>
        <v>#DIV/0!</v>
      </c>
      <c r="F20" s="66" t="e">
        <f t="shared" si="4"/>
        <v>#NUM!</v>
      </c>
      <c r="G20" s="56"/>
      <c r="H20" s="56"/>
      <c r="I20" s="56"/>
      <c r="J20" s="56"/>
      <c r="K20" s="56"/>
      <c r="L20" s="56"/>
      <c r="M20" s="56"/>
      <c r="N20" s="56"/>
      <c r="O20" s="56"/>
      <c r="P20" s="56"/>
      <c r="Q20" s="56"/>
      <c r="R20" s="56"/>
      <c r="S20" s="56"/>
      <c r="T20" s="56"/>
      <c r="U20" s="56"/>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70"/>
      <c r="EE20" s="70"/>
      <c r="EF20" s="70"/>
      <c r="EG20" s="70"/>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row>
    <row r="21" spans="1:247" x14ac:dyDescent="0.35">
      <c r="A21" s="65" t="str">
        <f t="shared" si="0"/>
        <v/>
      </c>
      <c r="B21" s="68" t="str">
        <f>Stoff!A21</f>
        <v>1,2,4-triklorbensen</v>
      </c>
      <c r="C21" s="67">
        <f t="shared" si="1"/>
        <v>0</v>
      </c>
      <c r="D21" s="55">
        <f t="shared" si="2"/>
        <v>0</v>
      </c>
      <c r="E21" s="55" t="e">
        <f t="shared" si="3"/>
        <v>#DIV/0!</v>
      </c>
      <c r="F21" s="66" t="e">
        <f t="shared" si="4"/>
        <v>#NUM!</v>
      </c>
      <c r="G21" s="56"/>
      <c r="H21" s="56"/>
      <c r="I21" s="56"/>
      <c r="J21" s="56"/>
      <c r="K21" s="56"/>
      <c r="L21" s="56"/>
      <c r="M21" s="56"/>
      <c r="N21" s="56"/>
      <c r="O21" s="56"/>
      <c r="P21" s="56"/>
      <c r="Q21" s="56"/>
      <c r="R21" s="56"/>
      <c r="S21" s="56"/>
      <c r="T21" s="56"/>
      <c r="U21" s="56"/>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70"/>
      <c r="EE21" s="70"/>
      <c r="EF21" s="70"/>
      <c r="EG21" s="70"/>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row>
    <row r="22" spans="1:247" x14ac:dyDescent="0.35">
      <c r="A22" s="65" t="str">
        <f t="shared" si="0"/>
        <v/>
      </c>
      <c r="B22" s="68" t="str">
        <f>Stoff!A22</f>
        <v>1,2,3-triklorbensen</v>
      </c>
      <c r="C22" s="67">
        <f t="shared" si="1"/>
        <v>0</v>
      </c>
      <c r="D22" s="55">
        <f t="shared" si="2"/>
        <v>0</v>
      </c>
      <c r="E22" s="55" t="e">
        <f t="shared" si="3"/>
        <v>#DIV/0!</v>
      </c>
      <c r="F22" s="66" t="e">
        <f t="shared" si="4"/>
        <v>#NUM!</v>
      </c>
      <c r="G22" s="56"/>
      <c r="H22" s="56"/>
      <c r="I22" s="56"/>
      <c r="J22" s="56"/>
      <c r="K22" s="56"/>
      <c r="L22" s="72"/>
      <c r="M22" s="56"/>
      <c r="N22" s="56"/>
      <c r="O22" s="56"/>
      <c r="P22" s="56"/>
      <c r="Q22" s="56"/>
      <c r="R22" s="56"/>
      <c r="S22" s="56"/>
      <c r="T22" s="56"/>
      <c r="U22" s="56"/>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70"/>
      <c r="EE22" s="70"/>
      <c r="EF22" s="70"/>
      <c r="EG22" s="70"/>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row>
    <row r="23" spans="1:247" x14ac:dyDescent="0.35">
      <c r="A23" s="65" t="str">
        <f t="shared" si="0"/>
        <v/>
      </c>
      <c r="B23" s="68" t="str">
        <f>Stoff!A23</f>
        <v>1,3,5-triklorbensen</v>
      </c>
      <c r="C23" s="67">
        <f t="shared" si="1"/>
        <v>0</v>
      </c>
      <c r="D23" s="55">
        <f t="shared" si="2"/>
        <v>0</v>
      </c>
      <c r="E23" s="55" t="e">
        <f t="shared" si="3"/>
        <v>#DIV/0!</v>
      </c>
      <c r="F23" s="66" t="e">
        <f t="shared" si="4"/>
        <v>#NUM!</v>
      </c>
      <c r="G23" s="56"/>
      <c r="H23" s="56"/>
      <c r="I23" s="56"/>
      <c r="J23" s="56"/>
      <c r="K23" s="56"/>
      <c r="L23" s="72"/>
      <c r="M23" s="56"/>
      <c r="N23" s="56"/>
      <c r="O23" s="56"/>
      <c r="P23" s="56"/>
      <c r="Q23" s="56"/>
      <c r="R23" s="56"/>
      <c r="S23" s="56"/>
      <c r="T23" s="56"/>
      <c r="U23" s="56"/>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70"/>
      <c r="EE23" s="70"/>
      <c r="EF23" s="70"/>
      <c r="EG23" s="70"/>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row>
    <row r="24" spans="1:247" x14ac:dyDescent="0.35">
      <c r="A24" s="65" t="str">
        <f t="shared" si="0"/>
        <v/>
      </c>
      <c r="B24" s="68" t="str">
        <f>Stoff!A24</f>
        <v>1,2,4,5-tetraklorbensen</v>
      </c>
      <c r="C24" s="67">
        <f t="shared" si="1"/>
        <v>0</v>
      </c>
      <c r="D24" s="55">
        <f t="shared" si="2"/>
        <v>0</v>
      </c>
      <c r="E24" s="55" t="e">
        <f t="shared" si="3"/>
        <v>#DIV/0!</v>
      </c>
      <c r="F24" s="66" t="e">
        <f t="shared" si="4"/>
        <v>#NUM!</v>
      </c>
      <c r="G24" s="56"/>
      <c r="H24" s="56"/>
      <c r="I24" s="56"/>
      <c r="J24" s="56"/>
      <c r="K24" s="56"/>
      <c r="L24" s="72"/>
      <c r="M24" s="56"/>
      <c r="N24" s="56"/>
      <c r="O24" s="56"/>
      <c r="P24" s="56"/>
      <c r="Q24" s="56"/>
      <c r="R24" s="56"/>
      <c r="S24" s="56"/>
      <c r="T24" s="56"/>
      <c r="U24" s="56"/>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70"/>
      <c r="EE24" s="70"/>
      <c r="EF24" s="70"/>
      <c r="EG24" s="70"/>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row>
    <row r="25" spans="1:247" x14ac:dyDescent="0.35">
      <c r="A25" s="65" t="str">
        <f t="shared" si="0"/>
        <v/>
      </c>
      <c r="B25" s="68" t="str">
        <f>Stoff!A25</f>
        <v>Pentaklorbensen</v>
      </c>
      <c r="C25" s="67">
        <f t="shared" si="1"/>
        <v>0</v>
      </c>
      <c r="D25" s="55">
        <f t="shared" si="2"/>
        <v>0</v>
      </c>
      <c r="E25" s="55" t="e">
        <f t="shared" si="3"/>
        <v>#DIV/0!</v>
      </c>
      <c r="F25" s="66" t="e">
        <f t="shared" si="4"/>
        <v>#NUM!</v>
      </c>
      <c r="G25" s="56"/>
      <c r="H25" s="56"/>
      <c r="I25" s="56"/>
      <c r="J25" s="56"/>
      <c r="K25" s="56"/>
      <c r="L25" s="72"/>
      <c r="M25" s="56"/>
      <c r="N25" s="56"/>
      <c r="O25" s="56"/>
      <c r="P25" s="56"/>
      <c r="Q25" s="56"/>
      <c r="R25" s="56"/>
      <c r="S25" s="56"/>
      <c r="T25" s="56"/>
      <c r="U25" s="56"/>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70"/>
      <c r="EE25" s="70"/>
      <c r="EF25" s="70"/>
      <c r="EG25" s="70"/>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row>
    <row r="26" spans="1:247" x14ac:dyDescent="0.35">
      <c r="A26" s="65" t="str">
        <f t="shared" si="0"/>
        <v/>
      </c>
      <c r="B26" s="68" t="str">
        <f>Stoff!A26</f>
        <v>Heksaklorbensen</v>
      </c>
      <c r="C26" s="67">
        <f t="shared" si="1"/>
        <v>0</v>
      </c>
      <c r="D26" s="55">
        <f t="shared" si="2"/>
        <v>0</v>
      </c>
      <c r="E26" s="55" t="e">
        <f t="shared" si="3"/>
        <v>#DIV/0!</v>
      </c>
      <c r="F26" s="66" t="e">
        <f t="shared" si="4"/>
        <v>#NUM!</v>
      </c>
      <c r="G26" s="56"/>
      <c r="H26" s="56"/>
      <c r="I26" s="56"/>
      <c r="J26" s="56"/>
      <c r="K26" s="56"/>
      <c r="L26" s="72"/>
      <c r="M26" s="56"/>
      <c r="N26" s="56"/>
      <c r="O26" s="56"/>
      <c r="P26" s="56"/>
      <c r="Q26" s="56"/>
      <c r="R26" s="56"/>
      <c r="S26" s="56"/>
      <c r="T26" s="56"/>
      <c r="U26" s="56"/>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70"/>
      <c r="EE26" s="70"/>
      <c r="EF26" s="70"/>
      <c r="EG26" s="70"/>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row>
    <row r="27" spans="1:247" x14ac:dyDescent="0.35">
      <c r="A27" s="65" t="str">
        <f t="shared" si="0"/>
        <v/>
      </c>
      <c r="B27" s="68" t="str">
        <f>Stoff!A27</f>
        <v>Diklormetan</v>
      </c>
      <c r="C27" s="67">
        <f t="shared" si="1"/>
        <v>0</v>
      </c>
      <c r="D27" s="55">
        <f t="shared" si="2"/>
        <v>0</v>
      </c>
      <c r="E27" s="55" t="e">
        <f t="shared" si="3"/>
        <v>#DIV/0!</v>
      </c>
      <c r="F27" s="66" t="e">
        <f t="shared" si="4"/>
        <v>#NUM!</v>
      </c>
      <c r="G27" s="56"/>
      <c r="H27" s="56"/>
      <c r="I27" s="56"/>
      <c r="J27" s="56"/>
      <c r="K27" s="56"/>
      <c r="L27" s="72"/>
      <c r="M27" s="56"/>
      <c r="N27" s="56"/>
      <c r="O27" s="56"/>
      <c r="P27" s="56"/>
      <c r="Q27" s="56"/>
      <c r="R27" s="56"/>
      <c r="S27" s="56"/>
      <c r="T27" s="56"/>
      <c r="U27" s="56"/>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70"/>
      <c r="EE27" s="70"/>
      <c r="EF27" s="70"/>
      <c r="EG27" s="70"/>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row>
    <row r="28" spans="1:247" x14ac:dyDescent="0.35">
      <c r="A28" s="65" t="str">
        <f t="shared" si="0"/>
        <v/>
      </c>
      <c r="B28" s="68" t="str">
        <f>Stoff!A28</f>
        <v>Triklormetan</v>
      </c>
      <c r="C28" s="67">
        <f t="shared" si="1"/>
        <v>0</v>
      </c>
      <c r="D28" s="55">
        <f t="shared" si="2"/>
        <v>0</v>
      </c>
      <c r="E28" s="55" t="e">
        <f t="shared" si="3"/>
        <v>#DIV/0!</v>
      </c>
      <c r="F28" s="66" t="e">
        <f t="shared" si="4"/>
        <v>#NUM!</v>
      </c>
      <c r="G28" s="56"/>
      <c r="H28" s="56"/>
      <c r="I28" s="56"/>
      <c r="J28" s="56"/>
      <c r="K28" s="56"/>
      <c r="L28" s="72"/>
      <c r="M28" s="56"/>
      <c r="N28" s="56"/>
      <c r="O28" s="56"/>
      <c r="P28" s="56"/>
      <c r="Q28" s="56"/>
      <c r="R28" s="56"/>
      <c r="S28" s="56"/>
      <c r="T28" s="56"/>
      <c r="U28" s="56"/>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70"/>
      <c r="EE28" s="70"/>
      <c r="EF28" s="70"/>
      <c r="EG28" s="70"/>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row>
    <row r="29" spans="1:247" x14ac:dyDescent="0.35">
      <c r="A29" s="65" t="str">
        <f t="shared" si="0"/>
        <v/>
      </c>
      <c r="B29" s="68" t="str">
        <f>Stoff!A29</f>
        <v>Trikloreten</v>
      </c>
      <c r="C29" s="67">
        <f t="shared" si="1"/>
        <v>0</v>
      </c>
      <c r="D29" s="55">
        <f t="shared" si="2"/>
        <v>0</v>
      </c>
      <c r="E29" s="55" t="e">
        <f t="shared" si="3"/>
        <v>#DIV/0!</v>
      </c>
      <c r="F29" s="66" t="e">
        <f t="shared" si="4"/>
        <v>#NUM!</v>
      </c>
      <c r="G29" s="56"/>
      <c r="H29" s="56"/>
      <c r="I29" s="56"/>
      <c r="J29" s="56"/>
      <c r="K29" s="56"/>
      <c r="L29" s="56"/>
      <c r="M29" s="56"/>
      <c r="N29" s="56"/>
      <c r="O29" s="56"/>
      <c r="P29" s="56"/>
      <c r="Q29" s="56"/>
      <c r="R29" s="56"/>
      <c r="S29" s="56"/>
      <c r="T29" s="56"/>
      <c r="U29" s="56"/>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70"/>
      <c r="EE29" s="70"/>
      <c r="EF29" s="70"/>
      <c r="EG29" s="70"/>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row>
    <row r="30" spans="1:247" x14ac:dyDescent="0.35">
      <c r="A30" s="65" t="str">
        <f t="shared" si="0"/>
        <v/>
      </c>
      <c r="B30" s="68" t="str">
        <f>Stoff!A30</f>
        <v>Tetraklormetan</v>
      </c>
      <c r="C30" s="67">
        <f t="shared" si="1"/>
        <v>0</v>
      </c>
      <c r="D30" s="55">
        <f t="shared" si="2"/>
        <v>0</v>
      </c>
      <c r="E30" s="55" t="e">
        <f t="shared" si="3"/>
        <v>#DIV/0!</v>
      </c>
      <c r="F30" s="66" t="e">
        <f t="shared" si="4"/>
        <v>#NUM!</v>
      </c>
      <c r="G30" s="56"/>
      <c r="H30" s="56"/>
      <c r="I30" s="56"/>
      <c r="J30" s="56"/>
      <c r="K30" s="56"/>
      <c r="L30" s="71"/>
      <c r="M30" s="71"/>
      <c r="N30" s="71"/>
      <c r="O30" s="71"/>
      <c r="P30" s="56"/>
      <c r="Q30" s="56"/>
      <c r="R30" s="56"/>
      <c r="S30" s="56"/>
      <c r="T30" s="56"/>
      <c r="U30" s="56"/>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70"/>
      <c r="EE30" s="70"/>
      <c r="EF30" s="70"/>
      <c r="EG30" s="70"/>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row>
    <row r="31" spans="1:247" x14ac:dyDescent="0.35">
      <c r="A31" s="65" t="str">
        <f t="shared" si="0"/>
        <v/>
      </c>
      <c r="B31" s="68" t="str">
        <f>Stoff!A31</f>
        <v>Tetrakloreten</v>
      </c>
      <c r="C31" s="67">
        <f t="shared" si="1"/>
        <v>0</v>
      </c>
      <c r="D31" s="55">
        <f t="shared" si="2"/>
        <v>0</v>
      </c>
      <c r="E31" s="55" t="e">
        <f t="shared" si="3"/>
        <v>#DIV/0!</v>
      </c>
      <c r="F31" s="66" t="e">
        <f t="shared" si="4"/>
        <v>#NUM!</v>
      </c>
      <c r="G31" s="56"/>
      <c r="H31" s="56"/>
      <c r="I31" s="56"/>
      <c r="J31" s="56"/>
      <c r="K31" s="56"/>
      <c r="L31" s="56"/>
      <c r="M31" s="56"/>
      <c r="N31" s="56"/>
      <c r="O31" s="56"/>
      <c r="P31" s="56"/>
      <c r="Q31" s="56"/>
      <c r="R31" s="56"/>
      <c r="S31" s="56"/>
      <c r="T31" s="56"/>
      <c r="U31" s="56"/>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70"/>
      <c r="EE31" s="70"/>
      <c r="EF31" s="70"/>
      <c r="EG31" s="70"/>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row>
    <row r="32" spans="1:247" x14ac:dyDescent="0.35">
      <c r="A32" s="65" t="str">
        <f t="shared" si="0"/>
        <v/>
      </c>
      <c r="B32" s="68" t="str">
        <f>Stoff!A32</f>
        <v>1,2-dikloretan</v>
      </c>
      <c r="C32" s="67">
        <f t="shared" si="1"/>
        <v>0</v>
      </c>
      <c r="D32" s="55">
        <f t="shared" si="2"/>
        <v>0</v>
      </c>
      <c r="E32" s="55" t="e">
        <f t="shared" si="3"/>
        <v>#DIV/0!</v>
      </c>
      <c r="F32" s="66" t="e">
        <f t="shared" si="4"/>
        <v>#NUM!</v>
      </c>
      <c r="G32" s="56"/>
      <c r="H32" s="56"/>
      <c r="I32" s="56"/>
      <c r="J32" s="56"/>
      <c r="K32" s="56"/>
      <c r="L32" s="56"/>
      <c r="M32" s="56"/>
      <c r="N32" s="56"/>
      <c r="O32" s="56"/>
      <c r="P32" s="56"/>
      <c r="Q32" s="56"/>
      <c r="R32" s="56"/>
      <c r="S32" s="56"/>
      <c r="T32" s="56"/>
      <c r="U32" s="56"/>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70"/>
      <c r="EE32" s="70"/>
      <c r="EF32" s="70"/>
      <c r="EG32" s="70"/>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row>
    <row r="33" spans="1:247" x14ac:dyDescent="0.35">
      <c r="A33" s="65" t="str">
        <f t="shared" si="0"/>
        <v/>
      </c>
      <c r="B33" s="68" t="str">
        <f>Stoff!A33</f>
        <v>1,2-dibrometan</v>
      </c>
      <c r="C33" s="67">
        <f t="shared" si="1"/>
        <v>0</v>
      </c>
      <c r="D33" s="55">
        <f t="shared" si="2"/>
        <v>0</v>
      </c>
      <c r="E33" s="55" t="e">
        <f t="shared" si="3"/>
        <v>#DIV/0!</v>
      </c>
      <c r="F33" s="66" t="e">
        <f t="shared" si="4"/>
        <v>#NUM!</v>
      </c>
      <c r="G33" s="56"/>
      <c r="H33" s="56"/>
      <c r="I33" s="56"/>
      <c r="J33" s="56"/>
      <c r="K33" s="56"/>
      <c r="L33" s="56"/>
      <c r="M33" s="56"/>
      <c r="N33" s="56"/>
      <c r="O33" s="56"/>
      <c r="P33" s="56"/>
      <c r="Q33" s="56"/>
      <c r="R33" s="56"/>
      <c r="S33" s="56"/>
      <c r="T33" s="56"/>
      <c r="U33" s="56"/>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70"/>
      <c r="EE33" s="70"/>
      <c r="EF33" s="70"/>
      <c r="EG33" s="70"/>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row>
    <row r="34" spans="1:247" x14ac:dyDescent="0.35">
      <c r="A34" s="65" t="str">
        <f t="shared" si="0"/>
        <v/>
      </c>
      <c r="B34" s="68" t="str">
        <f>Stoff!A34</f>
        <v>1,1,1-trikloretan</v>
      </c>
      <c r="C34" s="67">
        <f t="shared" si="1"/>
        <v>0</v>
      </c>
      <c r="D34" s="55">
        <f t="shared" si="2"/>
        <v>0</v>
      </c>
      <c r="E34" s="55" t="e">
        <f t="shared" si="3"/>
        <v>#DIV/0!</v>
      </c>
      <c r="F34" s="66" t="e">
        <f t="shared" si="4"/>
        <v>#NUM!</v>
      </c>
      <c r="G34" s="56"/>
      <c r="H34" s="56"/>
      <c r="I34" s="56"/>
      <c r="J34" s="56"/>
      <c r="K34" s="56"/>
      <c r="L34" s="56"/>
      <c r="M34" s="56"/>
      <c r="N34" s="56"/>
      <c r="O34" s="56"/>
      <c r="P34" s="56"/>
      <c r="Q34" s="56"/>
      <c r="R34" s="56"/>
      <c r="S34" s="56"/>
      <c r="T34" s="56"/>
      <c r="U34" s="56"/>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70"/>
      <c r="EE34" s="70"/>
      <c r="EF34" s="70"/>
      <c r="EG34" s="70"/>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row>
    <row r="35" spans="1:247" x14ac:dyDescent="0.35">
      <c r="A35" s="65" t="str">
        <f t="shared" si="0"/>
        <v/>
      </c>
      <c r="B35" s="68" t="str">
        <f>Stoff!A35</f>
        <v>1,1,2-trikloretan</v>
      </c>
      <c r="C35" s="67">
        <f t="shared" si="1"/>
        <v>0</v>
      </c>
      <c r="D35" s="55">
        <f t="shared" si="2"/>
        <v>0</v>
      </c>
      <c r="E35" s="55" t="e">
        <f t="shared" si="3"/>
        <v>#DIV/0!</v>
      </c>
      <c r="F35" s="66" t="e">
        <f t="shared" si="4"/>
        <v>#NUM!</v>
      </c>
      <c r="G35" s="56"/>
      <c r="H35" s="56"/>
      <c r="I35" s="56"/>
      <c r="J35" s="56"/>
      <c r="K35" s="56"/>
      <c r="L35" s="56"/>
      <c r="M35" s="56"/>
      <c r="N35" s="56"/>
      <c r="O35" s="56"/>
      <c r="P35" s="56"/>
      <c r="Q35" s="56"/>
      <c r="R35" s="56"/>
      <c r="S35" s="56"/>
      <c r="T35" s="56"/>
      <c r="U35" s="56"/>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70"/>
      <c r="EE35" s="70"/>
      <c r="EF35" s="70"/>
      <c r="EG35" s="70"/>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row>
    <row r="36" spans="1:247" x14ac:dyDescent="0.35">
      <c r="A36" s="65" t="str">
        <f t="shared" si="0"/>
        <v/>
      </c>
      <c r="B36" s="68" t="str">
        <f>Stoff!A36</f>
        <v>Fenol</v>
      </c>
      <c r="C36" s="67">
        <f t="shared" si="1"/>
        <v>0</v>
      </c>
      <c r="D36" s="55">
        <f t="shared" si="2"/>
        <v>0</v>
      </c>
      <c r="E36" s="55" t="e">
        <f t="shared" si="3"/>
        <v>#DIV/0!</v>
      </c>
      <c r="F36" s="66" t="e">
        <f t="shared" si="4"/>
        <v>#NUM!</v>
      </c>
      <c r="G36" s="56"/>
      <c r="H36" s="56"/>
      <c r="I36" s="56"/>
      <c r="J36" s="56"/>
      <c r="K36" s="56"/>
      <c r="L36" s="56"/>
      <c r="M36" s="56"/>
      <c r="N36" s="56"/>
      <c r="O36" s="56"/>
      <c r="P36" s="56"/>
      <c r="Q36" s="56"/>
      <c r="R36" s="56"/>
      <c r="S36" s="56"/>
      <c r="T36" s="56"/>
      <c r="U36" s="56"/>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70"/>
      <c r="EE36" s="70"/>
      <c r="EF36" s="70"/>
      <c r="EG36" s="70"/>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row>
    <row r="37" spans="1:247" x14ac:dyDescent="0.35">
      <c r="A37" s="65" t="str">
        <f t="shared" si="0"/>
        <v/>
      </c>
      <c r="B37" s="68" t="str">
        <f>Stoff!A37</f>
        <v>Sum mono,di,tri,tetra</v>
      </c>
      <c r="C37" s="67">
        <f t="shared" si="1"/>
        <v>0</v>
      </c>
      <c r="D37" s="55">
        <f t="shared" si="2"/>
        <v>0</v>
      </c>
      <c r="E37" s="55" t="e">
        <f t="shared" si="3"/>
        <v>#DIV/0!</v>
      </c>
      <c r="F37" s="66" t="e">
        <f t="shared" si="4"/>
        <v>#NUM!</v>
      </c>
      <c r="G37" s="56"/>
      <c r="H37" s="56"/>
      <c r="I37" s="56"/>
      <c r="J37" s="56"/>
      <c r="K37" s="56"/>
      <c r="L37" s="56"/>
      <c r="M37" s="56"/>
      <c r="N37" s="56"/>
      <c r="O37" s="56"/>
      <c r="P37" s="56"/>
      <c r="Q37" s="56"/>
      <c r="R37" s="56"/>
      <c r="S37" s="56"/>
      <c r="T37" s="56"/>
      <c r="U37" s="56"/>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row>
    <row r="38" spans="1:247" x14ac:dyDescent="0.35">
      <c r="A38" s="65" t="str">
        <f t="shared" si="0"/>
        <v/>
      </c>
      <c r="B38" s="68" t="str">
        <f>Stoff!A38</f>
        <v>Pentaklorfenol</v>
      </c>
      <c r="C38" s="67">
        <f t="shared" si="1"/>
        <v>0</v>
      </c>
      <c r="D38" s="55">
        <f t="shared" si="2"/>
        <v>0</v>
      </c>
      <c r="E38" s="55" t="e">
        <f t="shared" si="3"/>
        <v>#DIV/0!</v>
      </c>
      <c r="F38" s="66" t="e">
        <f t="shared" si="4"/>
        <v>#NUM!</v>
      </c>
      <c r="G38" s="56"/>
      <c r="H38" s="56"/>
      <c r="I38" s="56"/>
      <c r="J38" s="56"/>
      <c r="K38" s="56"/>
      <c r="L38" s="56"/>
      <c r="M38" s="56"/>
      <c r="N38" s="56"/>
      <c r="O38" s="56"/>
      <c r="P38" s="56"/>
      <c r="Q38" s="56"/>
      <c r="R38" s="56"/>
      <c r="S38" s="56"/>
      <c r="T38" s="56"/>
      <c r="U38" s="56"/>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69"/>
      <c r="EI38" s="69"/>
      <c r="EJ38" s="69"/>
      <c r="EK38" s="69"/>
      <c r="EL38" s="69"/>
      <c r="EM38" s="69"/>
      <c r="EN38" s="69"/>
      <c r="EO38" s="69"/>
      <c r="EP38" s="69"/>
      <c r="EQ38" s="69"/>
      <c r="ER38" s="69"/>
      <c r="ES38" s="69"/>
      <c r="ET38" s="69"/>
      <c r="EU38" s="69"/>
      <c r="EV38" s="69"/>
      <c r="EW38" s="69"/>
      <c r="EX38" s="69"/>
      <c r="EY38" s="69"/>
      <c r="EZ38" s="69"/>
      <c r="FA38" s="69"/>
    </row>
    <row r="39" spans="1:247" x14ac:dyDescent="0.35">
      <c r="A39" s="65" t="str">
        <f t="shared" si="0"/>
        <v/>
      </c>
      <c r="B39" s="68" t="str">
        <f>Stoff!A39</f>
        <v>PAH totalt</v>
      </c>
      <c r="C39" s="67">
        <f t="shared" si="1"/>
        <v>0</v>
      </c>
      <c r="D39" s="55">
        <f t="shared" si="2"/>
        <v>0</v>
      </c>
      <c r="E39" s="55" t="e">
        <f t="shared" si="3"/>
        <v>#DIV/0!</v>
      </c>
      <c r="F39" s="66" t="e">
        <f t="shared" si="4"/>
        <v>#NUM!</v>
      </c>
      <c r="G39" s="56"/>
      <c r="H39" s="56"/>
      <c r="I39" s="56"/>
      <c r="J39" s="56"/>
      <c r="K39" s="56"/>
      <c r="L39" s="56"/>
      <c r="M39" s="56"/>
      <c r="N39" s="56"/>
      <c r="O39" s="56"/>
      <c r="P39" s="56"/>
      <c r="Q39" s="56"/>
      <c r="R39" s="56"/>
      <c r="S39" s="56"/>
      <c r="T39" s="56"/>
      <c r="U39" s="56"/>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69"/>
      <c r="EI39" s="69"/>
      <c r="EJ39" s="69"/>
      <c r="EK39" s="69"/>
      <c r="EL39" s="69"/>
      <c r="EM39" s="69"/>
      <c r="EN39" s="69"/>
      <c r="EO39" s="69"/>
      <c r="EP39" s="69"/>
      <c r="EQ39" s="69"/>
      <c r="ER39" s="69"/>
      <c r="ES39" s="69"/>
      <c r="ET39" s="69"/>
      <c r="EU39" s="69"/>
      <c r="EV39" s="69"/>
      <c r="EW39" s="69"/>
      <c r="EX39" s="69"/>
      <c r="EY39" s="69"/>
      <c r="EZ39" s="69"/>
      <c r="FA39" s="69"/>
    </row>
    <row r="40" spans="1:247" x14ac:dyDescent="0.35">
      <c r="A40" s="65" t="str">
        <f t="shared" si="0"/>
        <v/>
      </c>
      <c r="B40" s="68" t="str">
        <f>Stoff!A40</f>
        <v>Naftalen</v>
      </c>
      <c r="C40" s="67">
        <f t="shared" si="1"/>
        <v>0</v>
      </c>
      <c r="D40" s="55">
        <f t="shared" si="2"/>
        <v>0</v>
      </c>
      <c r="E40" s="55" t="e">
        <f t="shared" si="3"/>
        <v>#DIV/0!</v>
      </c>
      <c r="F40" s="66" t="e">
        <f t="shared" si="4"/>
        <v>#NUM!</v>
      </c>
      <c r="G40" s="56"/>
      <c r="H40" s="56"/>
      <c r="I40" s="56"/>
      <c r="J40" s="56"/>
      <c r="K40" s="56"/>
      <c r="L40" s="56"/>
      <c r="M40" s="56"/>
      <c r="N40" s="56"/>
      <c r="O40" s="56"/>
      <c r="P40" s="56"/>
      <c r="Q40" s="56"/>
      <c r="R40" s="56"/>
      <c r="S40" s="56"/>
      <c r="T40" s="56"/>
      <c r="U40" s="56"/>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69"/>
      <c r="EI40" s="69"/>
      <c r="EJ40" s="69"/>
      <c r="EK40" s="69"/>
      <c r="EL40" s="69"/>
      <c r="EM40" s="69"/>
      <c r="EN40" s="69"/>
      <c r="EO40" s="69"/>
      <c r="EP40" s="69"/>
      <c r="EQ40" s="69"/>
      <c r="ER40" s="69"/>
      <c r="ES40" s="69"/>
      <c r="ET40" s="69"/>
      <c r="EU40" s="69"/>
      <c r="EV40" s="69"/>
      <c r="EW40" s="69"/>
      <c r="EX40" s="69"/>
      <c r="EY40" s="69"/>
      <c r="EZ40" s="69"/>
      <c r="FA40" s="69"/>
    </row>
    <row r="41" spans="1:247" x14ac:dyDescent="0.35">
      <c r="A41" s="65" t="str">
        <f t="shared" si="0"/>
        <v/>
      </c>
      <c r="B41" s="68" t="str">
        <f>Stoff!A41</f>
        <v>Acenaftalen</v>
      </c>
      <c r="C41" s="67">
        <f t="shared" si="1"/>
        <v>0</v>
      </c>
      <c r="D41" s="55">
        <f t="shared" si="2"/>
        <v>0</v>
      </c>
      <c r="E41" s="55" t="e">
        <f t="shared" si="3"/>
        <v>#DIV/0!</v>
      </c>
      <c r="F41" s="66" t="e">
        <f t="shared" si="4"/>
        <v>#NUM!</v>
      </c>
      <c r="G41" s="56"/>
      <c r="H41" s="56"/>
      <c r="I41" s="56"/>
      <c r="J41" s="56"/>
      <c r="K41" s="56"/>
      <c r="L41" s="56"/>
      <c r="M41" s="56"/>
      <c r="N41" s="56"/>
      <c r="O41" s="56"/>
      <c r="P41" s="56"/>
      <c r="Q41" s="56"/>
      <c r="R41" s="56"/>
      <c r="S41" s="56"/>
      <c r="T41" s="56"/>
      <c r="U41" s="56"/>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69"/>
      <c r="EI41" s="69"/>
      <c r="EJ41" s="69"/>
      <c r="EK41" s="69"/>
      <c r="EL41" s="69"/>
      <c r="EM41" s="69"/>
      <c r="EN41" s="69"/>
      <c r="EO41" s="69"/>
      <c r="EP41" s="69"/>
      <c r="EQ41" s="69"/>
      <c r="ER41" s="69"/>
      <c r="ES41" s="69"/>
      <c r="ET41" s="69"/>
      <c r="EU41" s="69"/>
      <c r="EV41" s="69"/>
      <c r="EW41" s="69"/>
      <c r="EX41" s="69"/>
      <c r="EY41" s="69"/>
      <c r="EZ41" s="69"/>
      <c r="FA41" s="69"/>
    </row>
    <row r="42" spans="1:247" x14ac:dyDescent="0.35">
      <c r="A42" s="65" t="str">
        <f t="shared" si="0"/>
        <v/>
      </c>
      <c r="B42" s="68" t="str">
        <f>Stoff!A42</f>
        <v>Acenaften</v>
      </c>
      <c r="C42" s="67">
        <f t="shared" si="1"/>
        <v>0</v>
      </c>
      <c r="D42" s="55">
        <f t="shared" si="2"/>
        <v>0</v>
      </c>
      <c r="E42" s="55" t="e">
        <f t="shared" si="3"/>
        <v>#DIV/0!</v>
      </c>
      <c r="F42" s="66" t="e">
        <f t="shared" si="4"/>
        <v>#NUM!</v>
      </c>
      <c r="G42" s="56"/>
      <c r="H42" s="56"/>
      <c r="I42" s="56"/>
      <c r="J42" s="56"/>
      <c r="K42" s="56"/>
      <c r="L42" s="56"/>
      <c r="M42" s="56"/>
      <c r="N42" s="56"/>
      <c r="O42" s="56"/>
      <c r="P42" s="56"/>
      <c r="Q42" s="56"/>
      <c r="R42" s="56"/>
      <c r="S42" s="56"/>
      <c r="T42" s="56"/>
      <c r="U42" s="56"/>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69"/>
      <c r="EI42" s="69"/>
      <c r="EJ42" s="69"/>
      <c r="EK42" s="69"/>
      <c r="EL42" s="69"/>
      <c r="EM42" s="69"/>
      <c r="EN42" s="69"/>
      <c r="EO42" s="69"/>
      <c r="EP42" s="69"/>
      <c r="EQ42" s="69"/>
      <c r="ER42" s="69"/>
      <c r="ES42" s="69"/>
      <c r="ET42" s="69"/>
      <c r="EU42" s="69"/>
      <c r="EV42" s="69"/>
      <c r="EW42" s="69"/>
      <c r="EX42" s="69"/>
      <c r="EY42" s="69"/>
      <c r="EZ42" s="69"/>
      <c r="FA42" s="69"/>
    </row>
    <row r="43" spans="1:247" x14ac:dyDescent="0.35">
      <c r="A43" s="65" t="str">
        <f t="shared" si="0"/>
        <v/>
      </c>
      <c r="B43" s="68" t="str">
        <f>Stoff!A43</f>
        <v>Fenantren</v>
      </c>
      <c r="C43" s="67">
        <f t="shared" si="1"/>
        <v>0</v>
      </c>
      <c r="D43" s="55">
        <f t="shared" si="2"/>
        <v>0</v>
      </c>
      <c r="E43" s="55" t="e">
        <f t="shared" si="3"/>
        <v>#DIV/0!</v>
      </c>
      <c r="F43" s="66" t="e">
        <f t="shared" si="4"/>
        <v>#NUM!</v>
      </c>
      <c r="G43" s="56"/>
      <c r="H43" s="56"/>
      <c r="I43" s="56"/>
      <c r="J43" s="56"/>
      <c r="K43" s="56"/>
      <c r="L43" s="56"/>
      <c r="M43" s="56"/>
      <c r="N43" s="56"/>
      <c r="O43" s="56"/>
      <c r="P43" s="56"/>
      <c r="Q43" s="56"/>
      <c r="R43" s="56"/>
      <c r="S43" s="56"/>
      <c r="T43" s="56"/>
      <c r="U43" s="56"/>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69"/>
      <c r="EI43" s="69"/>
      <c r="EJ43" s="69"/>
      <c r="EK43" s="69"/>
      <c r="EL43" s="69"/>
      <c r="EM43" s="69"/>
      <c r="EN43" s="69"/>
      <c r="EO43" s="69"/>
      <c r="EP43" s="69"/>
      <c r="EQ43" s="69"/>
      <c r="ER43" s="69"/>
      <c r="ES43" s="69"/>
      <c r="ET43" s="69"/>
      <c r="EU43" s="69"/>
      <c r="EV43" s="69"/>
      <c r="EW43" s="69"/>
      <c r="EX43" s="69"/>
      <c r="EY43" s="69"/>
      <c r="EZ43" s="69"/>
      <c r="FA43" s="69"/>
    </row>
    <row r="44" spans="1:247" x14ac:dyDescent="0.35">
      <c r="A44" s="65" t="str">
        <f t="shared" si="0"/>
        <v/>
      </c>
      <c r="B44" s="68" t="str">
        <f>Stoff!A44</f>
        <v>Antracen</v>
      </c>
      <c r="C44" s="67">
        <f t="shared" si="1"/>
        <v>0</v>
      </c>
      <c r="D44" s="55">
        <f t="shared" si="2"/>
        <v>0</v>
      </c>
      <c r="E44" s="55" t="e">
        <f t="shared" si="3"/>
        <v>#DIV/0!</v>
      </c>
      <c r="F44" s="66" t="e">
        <f t="shared" si="4"/>
        <v>#NUM!</v>
      </c>
      <c r="G44" s="56"/>
      <c r="H44" s="56"/>
      <c r="I44" s="56"/>
      <c r="J44" s="56"/>
      <c r="K44" s="56"/>
      <c r="L44" s="56"/>
      <c r="M44" s="56"/>
      <c r="N44" s="56"/>
      <c r="O44" s="56"/>
      <c r="P44" s="56"/>
      <c r="Q44" s="56"/>
      <c r="R44" s="56"/>
      <c r="S44" s="56"/>
      <c r="T44" s="56"/>
      <c r="U44" s="56"/>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69"/>
      <c r="EI44" s="69"/>
      <c r="EJ44" s="69"/>
      <c r="EK44" s="69"/>
      <c r="EL44" s="69"/>
      <c r="EM44" s="69"/>
      <c r="EN44" s="69"/>
      <c r="EO44" s="69"/>
      <c r="EP44" s="69"/>
      <c r="EQ44" s="69"/>
      <c r="ER44" s="69"/>
      <c r="ES44" s="69"/>
      <c r="ET44" s="69"/>
      <c r="EU44" s="69"/>
      <c r="EV44" s="69"/>
      <c r="EW44" s="69"/>
      <c r="EX44" s="69"/>
      <c r="EY44" s="69"/>
      <c r="EZ44" s="69"/>
      <c r="FA44" s="69"/>
    </row>
    <row r="45" spans="1:247" x14ac:dyDescent="0.35">
      <c r="A45" s="65" t="str">
        <f t="shared" si="0"/>
        <v/>
      </c>
      <c r="B45" s="68" t="str">
        <f>Stoff!A45</f>
        <v>Fluoren</v>
      </c>
      <c r="C45" s="67">
        <f t="shared" si="1"/>
        <v>0</v>
      </c>
      <c r="D45" s="55">
        <f t="shared" si="2"/>
        <v>0</v>
      </c>
      <c r="E45" s="55" t="e">
        <f t="shared" si="3"/>
        <v>#DIV/0!</v>
      </c>
      <c r="F45" s="66" t="e">
        <f t="shared" si="4"/>
        <v>#NUM!</v>
      </c>
      <c r="G45" s="56"/>
      <c r="H45" s="56"/>
      <c r="I45" s="56"/>
      <c r="J45" s="56"/>
      <c r="K45" s="56"/>
      <c r="L45" s="56"/>
      <c r="M45" s="56"/>
      <c r="N45" s="56"/>
      <c r="O45" s="56"/>
      <c r="P45" s="56"/>
      <c r="Q45" s="56"/>
      <c r="R45" s="56"/>
      <c r="S45" s="56"/>
      <c r="T45" s="56"/>
      <c r="U45" s="56"/>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69"/>
      <c r="EI45" s="69"/>
      <c r="EJ45" s="69"/>
      <c r="EK45" s="69"/>
      <c r="EL45" s="69"/>
      <c r="EM45" s="69"/>
      <c r="EN45" s="69"/>
      <c r="EO45" s="69"/>
      <c r="EP45" s="69"/>
      <c r="EQ45" s="69"/>
      <c r="ER45" s="69"/>
      <c r="ES45" s="69"/>
      <c r="ET45" s="69"/>
      <c r="EU45" s="69"/>
      <c r="EV45" s="69"/>
      <c r="EW45" s="69"/>
      <c r="EX45" s="69"/>
      <c r="EY45" s="69"/>
      <c r="EZ45" s="69"/>
      <c r="FA45" s="69"/>
    </row>
    <row r="46" spans="1:247" x14ac:dyDescent="0.35">
      <c r="A46" s="65" t="str">
        <f t="shared" si="0"/>
        <v/>
      </c>
      <c r="B46" s="68" t="str">
        <f>Stoff!A46</f>
        <v>Fluoranten</v>
      </c>
      <c r="C46" s="67">
        <f t="shared" si="1"/>
        <v>0</v>
      </c>
      <c r="D46" s="55">
        <f t="shared" si="2"/>
        <v>0</v>
      </c>
      <c r="E46" s="55" t="e">
        <f t="shared" si="3"/>
        <v>#DIV/0!</v>
      </c>
      <c r="F46" s="66" t="e">
        <f t="shared" si="4"/>
        <v>#NUM!</v>
      </c>
      <c r="G46" s="56"/>
      <c r="H46" s="56"/>
      <c r="I46" s="56"/>
      <c r="J46" s="56"/>
      <c r="K46" s="56"/>
      <c r="L46" s="56"/>
      <c r="M46" s="56"/>
      <c r="N46" s="56"/>
      <c r="O46" s="56"/>
      <c r="P46" s="56"/>
      <c r="Q46" s="56"/>
      <c r="R46" s="56"/>
      <c r="S46" s="56"/>
      <c r="T46" s="56"/>
      <c r="U46" s="56"/>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69"/>
      <c r="EI46" s="69"/>
      <c r="EJ46" s="69"/>
      <c r="EK46" s="69"/>
      <c r="EL46" s="69"/>
      <c r="EM46" s="69"/>
      <c r="EN46" s="69"/>
      <c r="EO46" s="69"/>
      <c r="EP46" s="69"/>
      <c r="EQ46" s="69"/>
      <c r="ER46" s="69"/>
      <c r="ES46" s="69"/>
      <c r="ET46" s="69"/>
      <c r="EU46" s="69"/>
      <c r="EV46" s="69"/>
      <c r="EW46" s="69"/>
      <c r="EX46" s="69"/>
      <c r="EY46" s="69"/>
      <c r="EZ46" s="69"/>
      <c r="FA46" s="69"/>
    </row>
    <row r="47" spans="1:247" x14ac:dyDescent="0.35">
      <c r="A47" s="65" t="str">
        <f t="shared" si="0"/>
        <v/>
      </c>
      <c r="B47" s="68" t="str">
        <f>Stoff!A47</f>
        <v>Pyrene</v>
      </c>
      <c r="C47" s="67">
        <f t="shared" si="1"/>
        <v>0</v>
      </c>
      <c r="D47" s="55">
        <f t="shared" si="2"/>
        <v>0</v>
      </c>
      <c r="E47" s="55" t="e">
        <f t="shared" si="3"/>
        <v>#DIV/0!</v>
      </c>
      <c r="F47" s="66" t="e">
        <f t="shared" si="4"/>
        <v>#NUM!</v>
      </c>
      <c r="G47" s="56"/>
      <c r="H47" s="56"/>
      <c r="I47" s="56"/>
      <c r="J47" s="56"/>
      <c r="K47" s="56"/>
      <c r="L47" s="56"/>
      <c r="M47" s="56"/>
      <c r="N47" s="56"/>
      <c r="O47" s="56"/>
      <c r="P47" s="56"/>
      <c r="Q47" s="56"/>
      <c r="R47" s="56"/>
      <c r="S47" s="56"/>
      <c r="T47" s="56"/>
      <c r="U47" s="56"/>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69"/>
      <c r="EI47" s="69"/>
      <c r="EJ47" s="69"/>
      <c r="EK47" s="69"/>
      <c r="EL47" s="69"/>
      <c r="EM47" s="69"/>
      <c r="EN47" s="69"/>
      <c r="EO47" s="69"/>
      <c r="EP47" s="69"/>
      <c r="EQ47" s="69"/>
      <c r="ER47" s="69"/>
      <c r="ES47" s="69"/>
      <c r="ET47" s="69"/>
      <c r="EU47" s="69"/>
      <c r="EV47" s="69"/>
      <c r="EW47" s="69"/>
      <c r="EX47" s="69"/>
      <c r="EY47" s="69"/>
      <c r="EZ47" s="69"/>
      <c r="FA47" s="69"/>
    </row>
    <row r="48" spans="1:247" x14ac:dyDescent="0.35">
      <c r="A48" s="65" t="str">
        <f t="shared" si="0"/>
        <v/>
      </c>
      <c r="B48" s="68" t="str">
        <f>Stoff!A48</f>
        <v>Benzo(a)antracen</v>
      </c>
      <c r="C48" s="67">
        <f t="shared" si="1"/>
        <v>0</v>
      </c>
      <c r="D48" s="55">
        <f t="shared" si="2"/>
        <v>0</v>
      </c>
      <c r="E48" s="55" t="e">
        <f t="shared" si="3"/>
        <v>#DIV/0!</v>
      </c>
      <c r="F48" s="66" t="e">
        <f t="shared" si="4"/>
        <v>#NUM!</v>
      </c>
      <c r="G48" s="56"/>
      <c r="H48" s="56"/>
      <c r="I48" s="56"/>
      <c r="J48" s="56"/>
      <c r="K48" s="56"/>
      <c r="L48" s="56"/>
      <c r="M48" s="56"/>
      <c r="N48" s="56"/>
      <c r="O48" s="56"/>
      <c r="P48" s="56"/>
      <c r="Q48" s="56"/>
      <c r="R48" s="56"/>
      <c r="S48" s="56"/>
      <c r="T48" s="56"/>
      <c r="U48" s="56"/>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69"/>
      <c r="EI48" s="69"/>
      <c r="EJ48" s="69"/>
      <c r="EK48" s="69"/>
      <c r="EL48" s="69"/>
      <c r="EM48" s="69"/>
      <c r="EN48" s="69"/>
      <c r="EO48" s="69"/>
      <c r="EP48" s="69"/>
      <c r="EQ48" s="69"/>
      <c r="ER48" s="69"/>
      <c r="ES48" s="69"/>
      <c r="ET48" s="69"/>
      <c r="EU48" s="69"/>
      <c r="EV48" s="69"/>
      <c r="EW48" s="69"/>
      <c r="EX48" s="69"/>
      <c r="EY48" s="69"/>
      <c r="EZ48" s="69"/>
      <c r="FA48" s="69"/>
    </row>
    <row r="49" spans="1:157" x14ac:dyDescent="0.35">
      <c r="A49" s="65" t="str">
        <f t="shared" si="0"/>
        <v/>
      </c>
      <c r="B49" s="68" t="str">
        <f>Stoff!A49</f>
        <v>Krysen</v>
      </c>
      <c r="C49" s="67">
        <f t="shared" si="1"/>
        <v>0</v>
      </c>
      <c r="D49" s="55">
        <f t="shared" si="2"/>
        <v>0</v>
      </c>
      <c r="E49" s="55" t="e">
        <f t="shared" si="3"/>
        <v>#DIV/0!</v>
      </c>
      <c r="F49" s="66" t="e">
        <f t="shared" si="4"/>
        <v>#NUM!</v>
      </c>
      <c r="G49" s="56"/>
      <c r="H49" s="56"/>
      <c r="I49" s="56"/>
      <c r="J49" s="56"/>
      <c r="K49" s="56"/>
      <c r="L49" s="56"/>
      <c r="M49" s="56"/>
      <c r="N49" s="56"/>
      <c r="O49" s="56"/>
      <c r="P49" s="56"/>
      <c r="Q49" s="56"/>
      <c r="R49" s="56"/>
      <c r="S49" s="56"/>
      <c r="T49" s="56"/>
      <c r="U49" s="56"/>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69"/>
      <c r="EI49" s="69"/>
      <c r="EJ49" s="69"/>
      <c r="EK49" s="69"/>
      <c r="EL49" s="69"/>
      <c r="EM49" s="69"/>
      <c r="EN49" s="69"/>
      <c r="EO49" s="69"/>
      <c r="EP49" s="69"/>
      <c r="EQ49" s="69"/>
      <c r="ER49" s="69"/>
      <c r="ES49" s="69"/>
      <c r="ET49" s="69"/>
      <c r="EU49" s="69"/>
      <c r="EV49" s="69"/>
      <c r="EW49" s="69"/>
      <c r="EX49" s="69"/>
      <c r="EY49" s="69"/>
      <c r="EZ49" s="69"/>
      <c r="FA49" s="69"/>
    </row>
    <row r="50" spans="1:157" x14ac:dyDescent="0.35">
      <c r="A50" s="65" t="str">
        <f t="shared" si="0"/>
        <v/>
      </c>
      <c r="B50" s="68" t="str">
        <f>Stoff!A50</f>
        <v>Benzo(b)fluoranten</v>
      </c>
      <c r="C50" s="67">
        <f t="shared" si="1"/>
        <v>0</v>
      </c>
      <c r="D50" s="55">
        <f t="shared" si="2"/>
        <v>0</v>
      </c>
      <c r="E50" s="55" t="e">
        <f t="shared" si="3"/>
        <v>#DIV/0!</v>
      </c>
      <c r="F50" s="66" t="e">
        <f t="shared" si="4"/>
        <v>#NUM!</v>
      </c>
      <c r="G50" s="56"/>
      <c r="H50" s="56"/>
      <c r="I50" s="56"/>
      <c r="J50" s="56"/>
      <c r="K50" s="56"/>
      <c r="L50" s="56"/>
      <c r="M50" s="56"/>
      <c r="N50" s="56"/>
      <c r="O50" s="56"/>
      <c r="P50" s="56"/>
      <c r="Q50" s="56"/>
      <c r="R50" s="56"/>
      <c r="S50" s="56"/>
      <c r="T50" s="56"/>
      <c r="U50" s="56"/>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69"/>
      <c r="EI50" s="69"/>
      <c r="EJ50" s="69"/>
      <c r="EK50" s="69"/>
      <c r="EL50" s="69"/>
      <c r="EM50" s="69"/>
      <c r="EN50" s="69"/>
      <c r="EO50" s="69"/>
      <c r="EP50" s="69"/>
      <c r="EQ50" s="69"/>
      <c r="ER50" s="69"/>
      <c r="ES50" s="69"/>
      <c r="ET50" s="69"/>
      <c r="EU50" s="69"/>
      <c r="EV50" s="69"/>
      <c r="EW50" s="69"/>
      <c r="EX50" s="69"/>
      <c r="EY50" s="69"/>
      <c r="EZ50" s="69"/>
      <c r="FA50" s="69"/>
    </row>
    <row r="51" spans="1:157" x14ac:dyDescent="0.35">
      <c r="A51" s="65" t="str">
        <f t="shared" si="0"/>
        <v/>
      </c>
      <c r="B51" s="68" t="str">
        <f>Stoff!A51</f>
        <v>Benzo(k)fluoranten</v>
      </c>
      <c r="C51" s="67">
        <f t="shared" si="1"/>
        <v>0</v>
      </c>
      <c r="D51" s="55">
        <f t="shared" si="2"/>
        <v>0</v>
      </c>
      <c r="E51" s="55" t="e">
        <f t="shared" si="3"/>
        <v>#DIV/0!</v>
      </c>
      <c r="F51" s="66" t="e">
        <f t="shared" si="4"/>
        <v>#NUM!</v>
      </c>
      <c r="G51" s="56"/>
      <c r="H51" s="56"/>
      <c r="I51" s="56"/>
      <c r="J51" s="56"/>
      <c r="K51" s="56"/>
      <c r="L51" s="56"/>
      <c r="M51" s="56"/>
      <c r="N51" s="56"/>
      <c r="O51" s="56"/>
      <c r="P51" s="56"/>
      <c r="Q51" s="56"/>
      <c r="R51" s="56"/>
      <c r="S51" s="56"/>
      <c r="T51" s="56"/>
      <c r="U51" s="56"/>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69"/>
      <c r="EI51" s="69"/>
      <c r="EJ51" s="69"/>
      <c r="EK51" s="69"/>
      <c r="EL51" s="69"/>
      <c r="EM51" s="69"/>
      <c r="EN51" s="69"/>
      <c r="EO51" s="69"/>
      <c r="EP51" s="69"/>
      <c r="EQ51" s="69"/>
      <c r="ER51" s="69"/>
      <c r="ES51" s="69"/>
      <c r="ET51" s="69"/>
      <c r="EU51" s="69"/>
      <c r="EV51" s="69"/>
      <c r="EW51" s="69"/>
      <c r="EX51" s="69"/>
      <c r="EY51" s="69"/>
      <c r="EZ51" s="69"/>
      <c r="FA51" s="69"/>
    </row>
    <row r="52" spans="1:157" x14ac:dyDescent="0.35">
      <c r="A52" s="65" t="str">
        <f t="shared" si="0"/>
        <v/>
      </c>
      <c r="B52" s="68" t="str">
        <f>Stoff!A52</f>
        <v>Benso(a)pyren</v>
      </c>
      <c r="C52" s="67">
        <f t="shared" si="1"/>
        <v>0</v>
      </c>
      <c r="D52" s="55">
        <f t="shared" si="2"/>
        <v>0</v>
      </c>
      <c r="E52" s="55" t="e">
        <f t="shared" si="3"/>
        <v>#DIV/0!</v>
      </c>
      <c r="F52" s="66" t="e">
        <f t="shared" si="4"/>
        <v>#NUM!</v>
      </c>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row>
    <row r="53" spans="1:157" x14ac:dyDescent="0.35">
      <c r="A53" s="65" t="str">
        <f t="shared" si="0"/>
        <v/>
      </c>
      <c r="B53" s="68" t="str">
        <f>Stoff!A53</f>
        <v>Indeno(1,2,3-cd)pyren</v>
      </c>
      <c r="C53" s="67">
        <f t="shared" si="1"/>
        <v>0</v>
      </c>
      <c r="D53" s="55">
        <f t="shared" si="2"/>
        <v>0</v>
      </c>
      <c r="E53" s="55" t="e">
        <f t="shared" si="3"/>
        <v>#DIV/0!</v>
      </c>
      <c r="F53" s="66" t="e">
        <f t="shared" si="4"/>
        <v>#NUM!</v>
      </c>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row>
    <row r="54" spans="1:157" x14ac:dyDescent="0.35">
      <c r="A54" s="65" t="str">
        <f t="shared" si="0"/>
        <v/>
      </c>
      <c r="B54" s="68" t="str">
        <f>Stoff!A54</f>
        <v>Dibenzo(a,h)antracen</v>
      </c>
      <c r="C54" s="67">
        <f t="shared" si="1"/>
        <v>0</v>
      </c>
      <c r="D54" s="55">
        <f t="shared" si="2"/>
        <v>0</v>
      </c>
      <c r="E54" s="55" t="e">
        <f t="shared" si="3"/>
        <v>#DIV/0!</v>
      </c>
      <c r="F54" s="66" t="e">
        <f t="shared" si="4"/>
        <v>#NUM!</v>
      </c>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row>
    <row r="55" spans="1:157" x14ac:dyDescent="0.35">
      <c r="A55" s="65" t="str">
        <f t="shared" si="0"/>
        <v/>
      </c>
      <c r="B55" s="68" t="str">
        <f>Stoff!A55</f>
        <v>Benzo(g,h,i)perylen</v>
      </c>
      <c r="C55" s="67">
        <f t="shared" si="1"/>
        <v>0</v>
      </c>
      <c r="D55" s="55">
        <f t="shared" si="2"/>
        <v>0</v>
      </c>
      <c r="E55" s="55" t="e">
        <f t="shared" si="3"/>
        <v>#DIV/0!</v>
      </c>
      <c r="F55" s="66" t="e">
        <f t="shared" si="4"/>
        <v>#NUM!</v>
      </c>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row>
    <row r="56" spans="1:157" x14ac:dyDescent="0.35">
      <c r="A56" s="65" t="str">
        <f t="shared" si="0"/>
        <v/>
      </c>
      <c r="B56" s="68" t="str">
        <f>Stoff!A56</f>
        <v>Bensen</v>
      </c>
      <c r="C56" s="67">
        <f t="shared" si="1"/>
        <v>0</v>
      </c>
      <c r="D56" s="55">
        <f t="shared" si="2"/>
        <v>0</v>
      </c>
      <c r="E56" s="55" t="e">
        <f t="shared" si="3"/>
        <v>#DIV/0!</v>
      </c>
      <c r="F56" s="66" t="e">
        <f t="shared" si="4"/>
        <v>#NUM!</v>
      </c>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row>
    <row r="57" spans="1:157" x14ac:dyDescent="0.35">
      <c r="A57" s="65" t="str">
        <f t="shared" si="0"/>
        <v/>
      </c>
      <c r="B57" s="68" t="str">
        <f>Stoff!A57</f>
        <v>Toluen</v>
      </c>
      <c r="C57" s="67">
        <f t="shared" si="1"/>
        <v>0</v>
      </c>
      <c r="D57" s="55">
        <f t="shared" si="2"/>
        <v>0</v>
      </c>
      <c r="E57" s="55" t="e">
        <f t="shared" si="3"/>
        <v>#DIV/0!</v>
      </c>
      <c r="F57" s="66" t="e">
        <f t="shared" si="4"/>
        <v>#NUM!</v>
      </c>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row>
    <row r="58" spans="1:157" x14ac:dyDescent="0.35">
      <c r="A58" s="65" t="str">
        <f t="shared" si="0"/>
        <v/>
      </c>
      <c r="B58" s="68" t="str">
        <f>Stoff!A58</f>
        <v>Etylbensen</v>
      </c>
      <c r="C58" s="67">
        <f t="shared" si="1"/>
        <v>0</v>
      </c>
      <c r="D58" s="55">
        <f t="shared" si="2"/>
        <v>0</v>
      </c>
      <c r="E58" s="55" t="e">
        <f t="shared" si="3"/>
        <v>#DIV/0!</v>
      </c>
      <c r="F58" s="66" t="e">
        <f t="shared" si="4"/>
        <v>#NUM!</v>
      </c>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row>
    <row r="59" spans="1:157" x14ac:dyDescent="0.35">
      <c r="A59" s="65" t="str">
        <f t="shared" si="0"/>
        <v/>
      </c>
      <c r="B59" s="68" t="str">
        <f>Stoff!A59</f>
        <v>Xylen</v>
      </c>
      <c r="C59" s="67">
        <f t="shared" si="1"/>
        <v>0</v>
      </c>
      <c r="D59" s="55">
        <f t="shared" si="2"/>
        <v>0</v>
      </c>
      <c r="E59" s="55" t="e">
        <f t="shared" si="3"/>
        <v>#DIV/0!</v>
      </c>
      <c r="F59" s="66" t="e">
        <f t="shared" si="4"/>
        <v>#NUM!</v>
      </c>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row>
    <row r="60" spans="1:157" x14ac:dyDescent="0.35">
      <c r="A60" s="65" t="str">
        <f t="shared" si="0"/>
        <v/>
      </c>
      <c r="B60" s="68" t="str">
        <f>Stoff!A60</f>
        <v>Alifater  C5-C6</v>
      </c>
      <c r="C60" s="67">
        <f t="shared" si="1"/>
        <v>0</v>
      </c>
      <c r="D60" s="55">
        <f t="shared" si="2"/>
        <v>0</v>
      </c>
      <c r="E60" s="55" t="e">
        <f t="shared" si="3"/>
        <v>#DIV/0!</v>
      </c>
      <c r="F60" s="66" t="e">
        <f t="shared" si="4"/>
        <v>#NUM!</v>
      </c>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row>
    <row r="61" spans="1:157" x14ac:dyDescent="0.35">
      <c r="A61" s="65" t="str">
        <f t="shared" si="0"/>
        <v/>
      </c>
      <c r="B61" s="68" t="str">
        <f>Stoff!A61</f>
        <v>Alifater &gt; C6-C8</v>
      </c>
      <c r="C61" s="67">
        <f t="shared" si="1"/>
        <v>0</v>
      </c>
      <c r="D61" s="55">
        <f t="shared" si="2"/>
        <v>0</v>
      </c>
      <c r="E61" s="55" t="e">
        <f t="shared" si="3"/>
        <v>#DIV/0!</v>
      </c>
      <c r="F61" s="66" t="e">
        <f t="shared" si="4"/>
        <v>#NUM!</v>
      </c>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row>
    <row r="62" spans="1:157" x14ac:dyDescent="0.35">
      <c r="A62" s="65" t="str">
        <f t="shared" si="0"/>
        <v/>
      </c>
      <c r="B62" s="68" t="str">
        <f>Stoff!A62</f>
        <v>Alifater &gt; C8-C10</v>
      </c>
      <c r="C62" s="67">
        <f t="shared" si="1"/>
        <v>0</v>
      </c>
      <c r="D62" s="55">
        <f t="shared" si="2"/>
        <v>0</v>
      </c>
      <c r="E62" s="55" t="e">
        <f t="shared" si="3"/>
        <v>#DIV/0!</v>
      </c>
      <c r="F62" s="66" t="e">
        <f t="shared" si="4"/>
        <v>#NUM!</v>
      </c>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row>
    <row r="63" spans="1:157" x14ac:dyDescent="0.35">
      <c r="A63" s="65" t="str">
        <f t="shared" si="0"/>
        <v/>
      </c>
      <c r="B63" s="68" t="str">
        <f>Stoff!A63</f>
        <v>Sum alifater &gt; C5-C10</v>
      </c>
      <c r="C63" s="67">
        <f t="shared" si="1"/>
        <v>0</v>
      </c>
      <c r="D63" s="55">
        <f t="shared" si="2"/>
        <v>0</v>
      </c>
      <c r="E63" s="55" t="e">
        <f t="shared" si="3"/>
        <v>#DIV/0!</v>
      </c>
      <c r="F63" s="66" t="e">
        <f t="shared" si="4"/>
        <v>#NUM!</v>
      </c>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c r="EO63" s="56"/>
      <c r="EP63" s="56"/>
      <c r="EQ63" s="56"/>
      <c r="ER63" s="56"/>
      <c r="ES63" s="56"/>
      <c r="ET63" s="56"/>
      <c r="EU63" s="56"/>
      <c r="EV63" s="56"/>
      <c r="EW63" s="56"/>
      <c r="EX63" s="56"/>
      <c r="EY63" s="56"/>
      <c r="EZ63" s="56"/>
      <c r="FA63" s="56"/>
    </row>
    <row r="64" spans="1:157" x14ac:dyDescent="0.35">
      <c r="A64" s="65" t="str">
        <f t="shared" si="0"/>
        <v/>
      </c>
      <c r="B64" s="68" t="str">
        <f>Stoff!A64</f>
        <v>Alifater &gt;C10-C12</v>
      </c>
      <c r="C64" s="67">
        <f t="shared" si="1"/>
        <v>0</v>
      </c>
      <c r="D64" s="55">
        <f t="shared" si="2"/>
        <v>0</v>
      </c>
      <c r="E64" s="55" t="e">
        <f t="shared" si="3"/>
        <v>#DIV/0!</v>
      </c>
      <c r="F64" s="66" t="e">
        <f t="shared" si="4"/>
        <v>#NUM!</v>
      </c>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c r="ER64" s="56"/>
      <c r="ES64" s="56"/>
      <c r="ET64" s="56"/>
      <c r="EU64" s="56"/>
      <c r="EV64" s="56"/>
      <c r="EW64" s="56"/>
      <c r="EX64" s="56"/>
      <c r="EY64" s="56"/>
      <c r="EZ64" s="56"/>
      <c r="FA64" s="56"/>
    </row>
    <row r="65" spans="1:157" x14ac:dyDescent="0.35">
      <c r="A65" s="65" t="str">
        <f t="shared" si="0"/>
        <v/>
      </c>
      <c r="B65" s="68" t="str">
        <f>Stoff!A65</f>
        <v>Alifater &gt;C12-C35</v>
      </c>
      <c r="C65" s="67">
        <f t="shared" si="1"/>
        <v>0</v>
      </c>
      <c r="D65" s="55">
        <f t="shared" si="2"/>
        <v>0</v>
      </c>
      <c r="E65" s="55" t="e">
        <f t="shared" si="3"/>
        <v>#DIV/0!</v>
      </c>
      <c r="F65" s="66" t="e">
        <f t="shared" si="4"/>
        <v>#NUM!</v>
      </c>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c r="EO65" s="56"/>
      <c r="EP65" s="56"/>
      <c r="EQ65" s="56"/>
      <c r="ER65" s="56"/>
      <c r="ES65" s="56"/>
      <c r="ET65" s="56"/>
      <c r="EU65" s="56"/>
      <c r="EV65" s="56"/>
      <c r="EW65" s="56"/>
      <c r="EX65" s="56"/>
      <c r="EY65" s="56"/>
      <c r="EZ65" s="56"/>
      <c r="FA65" s="56"/>
    </row>
    <row r="66" spans="1:157" x14ac:dyDescent="0.35">
      <c r="A66" s="65" t="str">
        <f t="shared" si="0"/>
        <v/>
      </c>
      <c r="B66" s="68" t="str">
        <f>Stoff!A66</f>
        <v>MTBE</v>
      </c>
      <c r="C66" s="67">
        <f t="shared" si="1"/>
        <v>0</v>
      </c>
      <c r="D66" s="55">
        <f t="shared" si="2"/>
        <v>0</v>
      </c>
      <c r="E66" s="55" t="e">
        <f t="shared" si="3"/>
        <v>#DIV/0!</v>
      </c>
      <c r="F66" s="66" t="e">
        <f t="shared" si="4"/>
        <v>#NUM!</v>
      </c>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row>
    <row r="67" spans="1:157" x14ac:dyDescent="0.35">
      <c r="A67" s="65" t="str">
        <f t="shared" si="0"/>
        <v/>
      </c>
      <c r="B67" s="68" t="str">
        <f>Stoff!A67</f>
        <v>Tetraetylbly</v>
      </c>
      <c r="C67" s="67">
        <f t="shared" si="1"/>
        <v>0</v>
      </c>
      <c r="D67" s="55">
        <f t="shared" si="2"/>
        <v>0</v>
      </c>
      <c r="E67" s="55" t="e">
        <f t="shared" si="3"/>
        <v>#DIV/0!</v>
      </c>
      <c r="F67" s="66" t="e">
        <f t="shared" si="4"/>
        <v>#NUM!</v>
      </c>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row>
    <row r="68" spans="1:157" x14ac:dyDescent="0.35">
      <c r="A68" s="65" t="str">
        <f t="shared" ref="A68:A86" si="5">IF(C68&gt;0,"x","")</f>
        <v/>
      </c>
      <c r="B68" s="68" t="str">
        <f>Stoff!A68</f>
        <v>PBDE-99</v>
      </c>
      <c r="C68" s="67">
        <f t="shared" ref="C68:C86" si="6">COUNT(G68:IV68)</f>
        <v>0</v>
      </c>
      <c r="D68" s="55">
        <f t="shared" ref="D68:D86" si="7">MAXA(G68:IV68)</f>
        <v>0</v>
      </c>
      <c r="E68" s="55" t="e">
        <f t="shared" ref="E68:E86" si="8">AVERAGE(G68:IV68)</f>
        <v>#DIV/0!</v>
      </c>
      <c r="F68" s="66" t="e">
        <f t="shared" ref="F68:F86" si="9">D68/MEDIAN(G68:IV68)</f>
        <v>#NUM!</v>
      </c>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row>
    <row r="69" spans="1:157" x14ac:dyDescent="0.35">
      <c r="A69" s="65" t="str">
        <f t="shared" si="5"/>
        <v/>
      </c>
      <c r="B69" s="68" t="str">
        <f>Stoff!A69</f>
        <v>PBDE-154</v>
      </c>
      <c r="C69" s="67">
        <f t="shared" si="6"/>
        <v>0</v>
      </c>
      <c r="D69" s="55">
        <f t="shared" si="7"/>
        <v>0</v>
      </c>
      <c r="E69" s="55" t="e">
        <f t="shared" si="8"/>
        <v>#DIV/0!</v>
      </c>
      <c r="F69" s="66" t="e">
        <f t="shared" si="9"/>
        <v>#NUM!</v>
      </c>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row>
    <row r="70" spans="1:157" x14ac:dyDescent="0.35">
      <c r="A70" s="65" t="str">
        <f t="shared" si="5"/>
        <v/>
      </c>
      <c r="B70" s="68" t="str">
        <f>Stoff!A70</f>
        <v>PBDE-209</v>
      </c>
      <c r="C70" s="67">
        <f t="shared" si="6"/>
        <v>0</v>
      </c>
      <c r="D70" s="55">
        <f t="shared" si="7"/>
        <v>0</v>
      </c>
      <c r="E70" s="55" t="e">
        <f t="shared" si="8"/>
        <v>#DIV/0!</v>
      </c>
      <c r="F70" s="66" t="e">
        <f t="shared" si="9"/>
        <v>#NUM!</v>
      </c>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row>
    <row r="71" spans="1:157" x14ac:dyDescent="0.35">
      <c r="A71" s="65" t="str">
        <f t="shared" si="5"/>
        <v/>
      </c>
      <c r="B71" s="68" t="str">
        <f>Stoff!A71</f>
        <v>HBCDD</v>
      </c>
      <c r="C71" s="67">
        <f t="shared" si="6"/>
        <v>0</v>
      </c>
      <c r="D71" s="55">
        <f t="shared" si="7"/>
        <v>0</v>
      </c>
      <c r="E71" s="55" t="e">
        <f t="shared" si="8"/>
        <v>#DIV/0!</v>
      </c>
      <c r="F71" s="66" t="e">
        <f t="shared" si="9"/>
        <v>#NUM!</v>
      </c>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row>
    <row r="72" spans="1:157" x14ac:dyDescent="0.35">
      <c r="A72" s="65" t="str">
        <f t="shared" si="5"/>
        <v/>
      </c>
      <c r="B72" s="68" t="str">
        <f>Stoff!A72</f>
        <v>Tetrabrombisfenol A</v>
      </c>
      <c r="C72" s="67">
        <f t="shared" si="6"/>
        <v>0</v>
      </c>
      <c r="D72" s="55">
        <f t="shared" si="7"/>
        <v>0</v>
      </c>
      <c r="E72" s="55" t="e">
        <f t="shared" si="8"/>
        <v>#DIV/0!</v>
      </c>
      <c r="F72" s="66" t="e">
        <f t="shared" si="9"/>
        <v>#NUM!</v>
      </c>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row>
    <row r="73" spans="1:157" x14ac:dyDescent="0.35">
      <c r="A73" s="65" t="str">
        <f t="shared" si="5"/>
        <v/>
      </c>
      <c r="B73" s="68" t="str">
        <f>Stoff!A73</f>
        <v>Bisfenol A</v>
      </c>
      <c r="C73" s="67">
        <f t="shared" si="6"/>
        <v>0</v>
      </c>
      <c r="D73" s="55">
        <f t="shared" si="7"/>
        <v>0</v>
      </c>
      <c r="E73" s="55" t="e">
        <f t="shared" si="8"/>
        <v>#DIV/0!</v>
      </c>
      <c r="F73" s="66" t="e">
        <f t="shared" si="9"/>
        <v>#NUM!</v>
      </c>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row>
    <row r="74" spans="1:157" x14ac:dyDescent="0.35">
      <c r="A74" s="65" t="str">
        <f t="shared" si="5"/>
        <v/>
      </c>
      <c r="B74" s="68" t="str">
        <f>Stoff!A74</f>
        <v>PFOS</v>
      </c>
      <c r="C74" s="67">
        <f t="shared" si="6"/>
        <v>0</v>
      </c>
      <c r="D74" s="55">
        <f t="shared" si="7"/>
        <v>0</v>
      </c>
      <c r="E74" s="55" t="e">
        <f t="shared" si="8"/>
        <v>#DIV/0!</v>
      </c>
      <c r="F74" s="66" t="e">
        <f t="shared" si="9"/>
        <v>#NUM!</v>
      </c>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56"/>
      <c r="FA74" s="56"/>
    </row>
    <row r="75" spans="1:157" x14ac:dyDescent="0.35">
      <c r="A75" s="65" t="str">
        <f t="shared" si="5"/>
        <v/>
      </c>
      <c r="B75" s="68" t="str">
        <f>Stoff!A75</f>
        <v>Nonylfenol</v>
      </c>
      <c r="C75" s="67">
        <f t="shared" si="6"/>
        <v>0</v>
      </c>
      <c r="D75" s="55">
        <f t="shared" si="7"/>
        <v>0</v>
      </c>
      <c r="E75" s="55" t="e">
        <f t="shared" si="8"/>
        <v>#DIV/0!</v>
      </c>
      <c r="F75" s="66" t="e">
        <f t="shared" si="9"/>
        <v>#NUM!</v>
      </c>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c r="ET75" s="56"/>
      <c r="EU75" s="56"/>
      <c r="EV75" s="56"/>
      <c r="EW75" s="56"/>
      <c r="EX75" s="56"/>
      <c r="EY75" s="56"/>
      <c r="EZ75" s="56"/>
      <c r="FA75" s="56"/>
    </row>
    <row r="76" spans="1:157" x14ac:dyDescent="0.35">
      <c r="A76" s="65" t="str">
        <f t="shared" si="5"/>
        <v/>
      </c>
      <c r="B76" s="68" t="str">
        <f>Stoff!A76</f>
        <v>Nonylfenoletoksilat</v>
      </c>
      <c r="C76" s="67">
        <f t="shared" si="6"/>
        <v>0</v>
      </c>
      <c r="D76" s="55">
        <f t="shared" si="7"/>
        <v>0</v>
      </c>
      <c r="E76" s="55" t="e">
        <f t="shared" si="8"/>
        <v>#DIV/0!</v>
      </c>
      <c r="F76" s="66" t="e">
        <f t="shared" si="9"/>
        <v>#NUM!</v>
      </c>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row>
    <row r="77" spans="1:157" x14ac:dyDescent="0.35">
      <c r="A77" s="65" t="str">
        <f t="shared" si="5"/>
        <v/>
      </c>
      <c r="B77" s="68" t="str">
        <f>Stoff!A77</f>
        <v>Oktylfenol</v>
      </c>
      <c r="C77" s="67">
        <f t="shared" si="6"/>
        <v>0</v>
      </c>
      <c r="D77" s="55">
        <f t="shared" si="7"/>
        <v>0</v>
      </c>
      <c r="E77" s="55" t="e">
        <f t="shared" si="8"/>
        <v>#DIV/0!</v>
      </c>
      <c r="F77" s="66" t="e">
        <f t="shared" si="9"/>
        <v>#NUM!</v>
      </c>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row>
    <row r="78" spans="1:157" x14ac:dyDescent="0.35">
      <c r="A78" s="65" t="str">
        <f t="shared" si="5"/>
        <v/>
      </c>
      <c r="B78" s="68" t="str">
        <f>Stoff!A78</f>
        <v>Oktylfenoletoksilat</v>
      </c>
      <c r="C78" s="67">
        <f t="shared" si="6"/>
        <v>0</v>
      </c>
      <c r="D78" s="55">
        <f t="shared" si="7"/>
        <v>0</v>
      </c>
      <c r="E78" s="55" t="e">
        <f t="shared" si="8"/>
        <v>#DIV/0!</v>
      </c>
      <c r="F78" s="66" t="e">
        <f t="shared" si="9"/>
        <v>#NUM!</v>
      </c>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row>
    <row r="79" spans="1:157" x14ac:dyDescent="0.35">
      <c r="A79" s="65" t="str">
        <f t="shared" si="5"/>
        <v/>
      </c>
      <c r="B79" s="68" t="str">
        <f>Stoff!A79</f>
        <v>TBT-oksid</v>
      </c>
      <c r="C79" s="67">
        <f t="shared" si="6"/>
        <v>0</v>
      </c>
      <c r="D79" s="55">
        <f t="shared" si="7"/>
        <v>0</v>
      </c>
      <c r="E79" s="55" t="e">
        <f t="shared" si="8"/>
        <v>#DIV/0!</v>
      </c>
      <c r="F79" s="66" t="e">
        <f t="shared" si="9"/>
        <v>#NUM!</v>
      </c>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row>
    <row r="80" spans="1:157" x14ac:dyDescent="0.35">
      <c r="A80" s="65" t="str">
        <f t="shared" si="5"/>
        <v/>
      </c>
      <c r="B80" s="68" t="str">
        <f>Stoff!A80</f>
        <v>Trifenyltinnklorid</v>
      </c>
      <c r="C80" s="67">
        <f t="shared" si="6"/>
        <v>0</v>
      </c>
      <c r="D80" s="55">
        <f t="shared" si="7"/>
        <v>0</v>
      </c>
      <c r="E80" s="55" t="e">
        <f t="shared" si="8"/>
        <v>#DIV/0!</v>
      </c>
      <c r="F80" s="66" t="e">
        <f t="shared" si="9"/>
        <v>#NUM!</v>
      </c>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row>
    <row r="81" spans="1:157" x14ac:dyDescent="0.35">
      <c r="A81" s="65" t="str">
        <f t="shared" si="5"/>
        <v/>
      </c>
      <c r="B81" s="68" t="str">
        <f>Stoff!A81</f>
        <v>Di(2-etylheksyl)ftalat</v>
      </c>
      <c r="C81" s="67">
        <f t="shared" si="6"/>
        <v>0</v>
      </c>
      <c r="D81" s="55">
        <f t="shared" si="7"/>
        <v>0</v>
      </c>
      <c r="E81" s="55" t="e">
        <f t="shared" si="8"/>
        <v>#DIV/0!</v>
      </c>
      <c r="F81" s="66" t="e">
        <f t="shared" si="9"/>
        <v>#NUM!</v>
      </c>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row>
    <row r="82" spans="1:157" x14ac:dyDescent="0.35">
      <c r="A82" s="65" t="str">
        <f t="shared" si="5"/>
        <v/>
      </c>
      <c r="B82" s="68" t="str">
        <f>Stoff!A82</f>
        <v>Mellomkjedete kl. paraf.</v>
      </c>
      <c r="C82" s="67">
        <f t="shared" si="6"/>
        <v>0</v>
      </c>
      <c r="D82" s="55">
        <f t="shared" si="7"/>
        <v>0</v>
      </c>
      <c r="E82" s="55" t="e">
        <f t="shared" si="8"/>
        <v>#DIV/0!</v>
      </c>
      <c r="F82" s="66" t="e">
        <f t="shared" si="9"/>
        <v>#NUM!</v>
      </c>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row>
    <row r="83" spans="1:157" x14ac:dyDescent="0.35">
      <c r="A83" s="65" t="str">
        <f t="shared" si="5"/>
        <v/>
      </c>
      <c r="B83" s="68" t="str">
        <f>Stoff!A83</f>
        <v>Kortkjedete kl. paraf.</v>
      </c>
      <c r="C83" s="67">
        <f t="shared" si="6"/>
        <v>0</v>
      </c>
      <c r="D83" s="55">
        <f t="shared" si="7"/>
        <v>0</v>
      </c>
      <c r="E83" s="55" t="e">
        <f t="shared" si="8"/>
        <v>#DIV/0!</v>
      </c>
      <c r="F83" s="66" t="e">
        <f t="shared" si="9"/>
        <v>#NUM!</v>
      </c>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row>
    <row r="84" spans="1:157" x14ac:dyDescent="0.35">
      <c r="A84" s="65" t="str">
        <f t="shared" si="5"/>
        <v/>
      </c>
      <c r="B84" s="68" t="str">
        <f>Stoff!A84</f>
        <v>Polyklorerte naftalener</v>
      </c>
      <c r="C84" s="67">
        <f t="shared" si="6"/>
        <v>0</v>
      </c>
      <c r="D84" s="55">
        <f t="shared" si="7"/>
        <v>0</v>
      </c>
      <c r="E84" s="55" t="e">
        <f t="shared" si="8"/>
        <v>#DIV/0!</v>
      </c>
      <c r="F84" s="66" t="e">
        <f t="shared" si="9"/>
        <v>#NUM!</v>
      </c>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row>
    <row r="85" spans="1:157" x14ac:dyDescent="0.35">
      <c r="A85" s="65" t="str">
        <f t="shared" si="5"/>
        <v/>
      </c>
      <c r="B85" s="68" t="str">
        <f>Stoff!A85</f>
        <v>Trikresylfosfat</v>
      </c>
      <c r="C85" s="67">
        <f t="shared" si="6"/>
        <v>0</v>
      </c>
      <c r="D85" s="55">
        <f t="shared" si="7"/>
        <v>0</v>
      </c>
      <c r="E85" s="55" t="e">
        <f t="shared" si="8"/>
        <v>#DIV/0!</v>
      </c>
      <c r="F85" s="66" t="e">
        <f t="shared" si="9"/>
        <v>#NUM!</v>
      </c>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row>
    <row r="86" spans="1:157" x14ac:dyDescent="0.35">
      <c r="A86" s="65" t="str">
        <f t="shared" si="5"/>
        <v/>
      </c>
      <c r="B86" s="68" t="str">
        <f>Stoff!A86</f>
        <v>Dioksin (TCDD-ekv.)</v>
      </c>
      <c r="C86" s="67">
        <f t="shared" si="6"/>
        <v>0</v>
      </c>
      <c r="D86" s="55">
        <f t="shared" si="7"/>
        <v>0</v>
      </c>
      <c r="E86" s="55" t="e">
        <f t="shared" si="8"/>
        <v>#DIV/0!</v>
      </c>
      <c r="F86" s="66" t="e">
        <f t="shared" si="9"/>
        <v>#NUM!</v>
      </c>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c r="ED86" s="56"/>
      <c r="EE86" s="56"/>
      <c r="EF86" s="56"/>
      <c r="EG86" s="56"/>
      <c r="EH86" s="56"/>
      <c r="EI86" s="56"/>
      <c r="EJ86" s="56"/>
      <c r="EK86" s="56"/>
      <c r="EL86" s="56"/>
      <c r="EM86" s="56"/>
      <c r="EN86" s="56"/>
      <c r="EO86" s="56"/>
      <c r="EP86" s="56"/>
      <c r="EQ86" s="56"/>
      <c r="ER86" s="56"/>
      <c r="ES86" s="56"/>
      <c r="ET86" s="56"/>
      <c r="EU86" s="56"/>
      <c r="EV86" s="56"/>
      <c r="EW86" s="56"/>
      <c r="EX86" s="56"/>
      <c r="EY86" s="56"/>
      <c r="EZ86" s="56"/>
      <c r="FA86" s="56"/>
    </row>
    <row r="87" spans="1:157" x14ac:dyDescent="0.35">
      <c r="A87" s="65" t="str">
        <f t="shared" ref="A87:A114" si="10">IF(C87&gt;0,"x","")</f>
        <v/>
      </c>
      <c r="B87" s="68" t="str">
        <f>Stoff!A87</f>
        <v>nystoff 1</v>
      </c>
      <c r="C87" s="67">
        <f t="shared" ref="C87:C114" si="11">COUNT(G87:IV87)</f>
        <v>0</v>
      </c>
      <c r="D87" s="55">
        <f t="shared" ref="D87:D114" si="12">MAXA(G87:IV87)</f>
        <v>0</v>
      </c>
      <c r="E87" s="55" t="e">
        <f t="shared" ref="E87:E114" si="13">AVERAGE(G87:IV87)</f>
        <v>#DIV/0!</v>
      </c>
      <c r="F87" s="66" t="e">
        <f t="shared" ref="F87:F114" si="14">D87/MEDIAN(G87:IV87)</f>
        <v>#NUM!</v>
      </c>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c r="ES87" s="56"/>
      <c r="ET87" s="56"/>
      <c r="EU87" s="56"/>
      <c r="EV87" s="56"/>
      <c r="EW87" s="56"/>
      <c r="EX87" s="56"/>
      <c r="EY87" s="56"/>
      <c r="EZ87" s="56"/>
      <c r="FA87" s="56"/>
    </row>
    <row r="88" spans="1:157" x14ac:dyDescent="0.35">
      <c r="A88" s="65" t="str">
        <f t="shared" si="10"/>
        <v/>
      </c>
      <c r="B88" s="68" t="str">
        <f>Stoff!A88</f>
        <v>nystoff 2</v>
      </c>
      <c r="C88" s="67">
        <f t="shared" si="11"/>
        <v>0</v>
      </c>
      <c r="D88" s="55">
        <f t="shared" si="12"/>
        <v>0</v>
      </c>
      <c r="E88" s="55" t="e">
        <f t="shared" si="13"/>
        <v>#DIV/0!</v>
      </c>
      <c r="F88" s="66" t="e">
        <f t="shared" si="14"/>
        <v>#NUM!</v>
      </c>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row>
    <row r="89" spans="1:157" x14ac:dyDescent="0.35">
      <c r="A89" s="65" t="str">
        <f t="shared" si="10"/>
        <v/>
      </c>
      <c r="B89" s="68" t="str">
        <f>Stoff!A89</f>
        <v>nystoff 3</v>
      </c>
      <c r="C89" s="67">
        <f t="shared" si="11"/>
        <v>0</v>
      </c>
      <c r="D89" s="55">
        <f t="shared" si="12"/>
        <v>0</v>
      </c>
      <c r="E89" s="55" t="e">
        <f t="shared" si="13"/>
        <v>#DIV/0!</v>
      </c>
      <c r="F89" s="66" t="e">
        <f t="shared" si="14"/>
        <v>#NUM!</v>
      </c>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c r="ED89" s="56"/>
      <c r="EE89" s="56"/>
      <c r="EF89" s="56"/>
      <c r="EG89" s="56"/>
      <c r="EH89" s="56"/>
      <c r="EI89" s="56"/>
      <c r="EJ89" s="56"/>
      <c r="EK89" s="56"/>
      <c r="EL89" s="56"/>
      <c r="EM89" s="56"/>
      <c r="EN89" s="56"/>
      <c r="EO89" s="56"/>
      <c r="EP89" s="56"/>
      <c r="EQ89" s="56"/>
      <c r="ER89" s="56"/>
      <c r="ES89" s="56"/>
      <c r="ET89" s="56"/>
      <c r="EU89" s="56"/>
      <c r="EV89" s="56"/>
      <c r="EW89" s="56"/>
      <c r="EX89" s="56"/>
      <c r="EY89" s="56"/>
      <c r="EZ89" s="56"/>
      <c r="FA89" s="56"/>
    </row>
    <row r="90" spans="1:157" x14ac:dyDescent="0.35">
      <c r="A90" s="65" t="str">
        <f t="shared" si="10"/>
        <v/>
      </c>
      <c r="B90" s="68" t="str">
        <f>Stoff!A90</f>
        <v>nystoff 4</v>
      </c>
      <c r="C90" s="67">
        <f t="shared" si="11"/>
        <v>0</v>
      </c>
      <c r="D90" s="55">
        <f t="shared" si="12"/>
        <v>0</v>
      </c>
      <c r="E90" s="55" t="e">
        <f t="shared" si="13"/>
        <v>#DIV/0!</v>
      </c>
      <c r="F90" s="66" t="e">
        <f t="shared" si="14"/>
        <v>#NUM!</v>
      </c>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c r="EJ90" s="56"/>
      <c r="EK90" s="56"/>
      <c r="EL90" s="56"/>
      <c r="EM90" s="56"/>
      <c r="EN90" s="56"/>
      <c r="EO90" s="56"/>
      <c r="EP90" s="56"/>
      <c r="EQ90" s="56"/>
      <c r="ER90" s="56"/>
      <c r="ES90" s="56"/>
      <c r="ET90" s="56"/>
      <c r="EU90" s="56"/>
      <c r="EV90" s="56"/>
      <c r="EW90" s="56"/>
      <c r="EX90" s="56"/>
      <c r="EY90" s="56"/>
      <c r="EZ90" s="56"/>
      <c r="FA90" s="56"/>
    </row>
    <row r="91" spans="1:157" x14ac:dyDescent="0.35">
      <c r="A91" s="65" t="str">
        <f t="shared" si="10"/>
        <v/>
      </c>
      <c r="B91" s="68" t="str">
        <f>Stoff!A91</f>
        <v>nystoff 5</v>
      </c>
      <c r="C91" s="67">
        <f t="shared" si="11"/>
        <v>0</v>
      </c>
      <c r="D91" s="55">
        <f t="shared" si="12"/>
        <v>0</v>
      </c>
      <c r="E91" s="55" t="e">
        <f t="shared" si="13"/>
        <v>#DIV/0!</v>
      </c>
      <c r="F91" s="66" t="e">
        <f t="shared" si="14"/>
        <v>#NUM!</v>
      </c>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c r="EN91" s="56"/>
      <c r="EO91" s="56"/>
      <c r="EP91" s="56"/>
      <c r="EQ91" s="56"/>
      <c r="ER91" s="56"/>
      <c r="ES91" s="56"/>
      <c r="ET91" s="56"/>
      <c r="EU91" s="56"/>
      <c r="EV91" s="56"/>
      <c r="EW91" s="56"/>
      <c r="EX91" s="56"/>
      <c r="EY91" s="56"/>
      <c r="EZ91" s="56"/>
      <c r="FA91" s="56"/>
    </row>
    <row r="92" spans="1:157" x14ac:dyDescent="0.35">
      <c r="A92" s="65" t="str">
        <f t="shared" si="10"/>
        <v/>
      </c>
      <c r="B92" s="68" t="str">
        <f>Stoff!A92</f>
        <v>nystoff 6</v>
      </c>
      <c r="C92" s="67">
        <f t="shared" si="11"/>
        <v>0</v>
      </c>
      <c r="D92" s="55">
        <f t="shared" si="12"/>
        <v>0</v>
      </c>
      <c r="E92" s="55" t="e">
        <f t="shared" si="13"/>
        <v>#DIV/0!</v>
      </c>
      <c r="F92" s="66" t="e">
        <f t="shared" si="14"/>
        <v>#NUM!</v>
      </c>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6"/>
      <c r="DY92" s="56"/>
      <c r="DZ92" s="56"/>
      <c r="EA92" s="56"/>
      <c r="EB92" s="56"/>
      <c r="EC92" s="56"/>
      <c r="ED92" s="56"/>
      <c r="EE92" s="56"/>
      <c r="EF92" s="56"/>
      <c r="EG92" s="56"/>
      <c r="EH92" s="56"/>
      <c r="EI92" s="56"/>
      <c r="EJ92" s="56"/>
      <c r="EK92" s="56"/>
      <c r="EL92" s="56"/>
      <c r="EM92" s="56"/>
      <c r="EN92" s="56"/>
      <c r="EO92" s="56"/>
      <c r="EP92" s="56"/>
      <c r="EQ92" s="56"/>
      <c r="ER92" s="56"/>
      <c r="ES92" s="56"/>
      <c r="ET92" s="56"/>
      <c r="EU92" s="56"/>
      <c r="EV92" s="56"/>
      <c r="EW92" s="56"/>
      <c r="EX92" s="56"/>
      <c r="EY92" s="56"/>
      <c r="EZ92" s="56"/>
      <c r="FA92" s="56"/>
    </row>
    <row r="93" spans="1:157" x14ac:dyDescent="0.35">
      <c r="A93" s="65" t="str">
        <f t="shared" si="10"/>
        <v/>
      </c>
      <c r="B93" s="68" t="str">
        <f>Stoff!A93</f>
        <v>nystoff 7</v>
      </c>
      <c r="C93" s="67">
        <f t="shared" si="11"/>
        <v>0</v>
      </c>
      <c r="D93" s="55">
        <f t="shared" si="12"/>
        <v>0</v>
      </c>
      <c r="E93" s="55" t="e">
        <f t="shared" si="13"/>
        <v>#DIV/0!</v>
      </c>
      <c r="F93" s="66" t="e">
        <f t="shared" si="14"/>
        <v>#NUM!</v>
      </c>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c r="EA93" s="56"/>
      <c r="EB93" s="56"/>
      <c r="EC93" s="56"/>
      <c r="ED93" s="56"/>
      <c r="EE93" s="56"/>
      <c r="EF93" s="56"/>
      <c r="EG93" s="56"/>
      <c r="EH93" s="56"/>
      <c r="EI93" s="56"/>
      <c r="EJ93" s="56"/>
      <c r="EK93" s="56"/>
      <c r="EL93" s="56"/>
      <c r="EM93" s="56"/>
      <c r="EN93" s="56"/>
      <c r="EO93" s="56"/>
      <c r="EP93" s="56"/>
      <c r="EQ93" s="56"/>
      <c r="ER93" s="56"/>
      <c r="ES93" s="56"/>
      <c r="ET93" s="56"/>
      <c r="EU93" s="56"/>
      <c r="EV93" s="56"/>
      <c r="EW93" s="56"/>
      <c r="EX93" s="56"/>
      <c r="EY93" s="56"/>
      <c r="EZ93" s="56"/>
      <c r="FA93" s="56"/>
    </row>
    <row r="94" spans="1:157" x14ac:dyDescent="0.35">
      <c r="A94" s="65" t="str">
        <f t="shared" si="10"/>
        <v/>
      </c>
      <c r="B94" s="68" t="str">
        <f>Stoff!A94</f>
        <v>nystoff 8</v>
      </c>
      <c r="C94" s="67">
        <f t="shared" si="11"/>
        <v>0</v>
      </c>
      <c r="D94" s="55">
        <f t="shared" si="12"/>
        <v>0</v>
      </c>
      <c r="E94" s="55" t="e">
        <f t="shared" si="13"/>
        <v>#DIV/0!</v>
      </c>
      <c r="F94" s="66" t="e">
        <f t="shared" si="14"/>
        <v>#NUM!</v>
      </c>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c r="EJ94" s="56"/>
      <c r="EK94" s="56"/>
      <c r="EL94" s="56"/>
      <c r="EM94" s="56"/>
      <c r="EN94" s="56"/>
      <c r="EO94" s="56"/>
      <c r="EP94" s="56"/>
      <c r="EQ94" s="56"/>
      <c r="ER94" s="56"/>
      <c r="ES94" s="56"/>
      <c r="ET94" s="56"/>
      <c r="EU94" s="56"/>
      <c r="EV94" s="56"/>
      <c r="EW94" s="56"/>
      <c r="EX94" s="56"/>
      <c r="EY94" s="56"/>
      <c r="EZ94" s="56"/>
      <c r="FA94" s="56"/>
    </row>
    <row r="95" spans="1:157" x14ac:dyDescent="0.35">
      <c r="A95" s="65" t="str">
        <f t="shared" si="10"/>
        <v/>
      </c>
      <c r="B95" s="68" t="str">
        <f>Stoff!A95</f>
        <v>nystoff 9</v>
      </c>
      <c r="C95" s="67">
        <f t="shared" si="11"/>
        <v>0</v>
      </c>
      <c r="D95" s="55">
        <f t="shared" si="12"/>
        <v>0</v>
      </c>
      <c r="E95" s="55" t="e">
        <f t="shared" si="13"/>
        <v>#DIV/0!</v>
      </c>
      <c r="F95" s="66" t="e">
        <f t="shared" si="14"/>
        <v>#NUM!</v>
      </c>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EW95" s="56"/>
      <c r="EX95" s="56"/>
      <c r="EY95" s="56"/>
      <c r="EZ95" s="56"/>
      <c r="FA95" s="56"/>
    </row>
    <row r="96" spans="1:157" x14ac:dyDescent="0.35">
      <c r="A96" s="65" t="str">
        <f t="shared" si="10"/>
        <v/>
      </c>
      <c r="B96" s="68" t="str">
        <f>Stoff!A96</f>
        <v>nystoff 10</v>
      </c>
      <c r="C96" s="67">
        <f t="shared" si="11"/>
        <v>0</v>
      </c>
      <c r="D96" s="55">
        <f t="shared" si="12"/>
        <v>0</v>
      </c>
      <c r="E96" s="55" t="e">
        <f t="shared" si="13"/>
        <v>#DIV/0!</v>
      </c>
      <c r="F96" s="66" t="e">
        <f t="shared" si="14"/>
        <v>#NUM!</v>
      </c>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c r="EN96" s="56"/>
      <c r="EO96" s="56"/>
      <c r="EP96" s="56"/>
      <c r="EQ96" s="56"/>
      <c r="ER96" s="56"/>
      <c r="ES96" s="56"/>
      <c r="ET96" s="56"/>
      <c r="EU96" s="56"/>
      <c r="EV96" s="56"/>
      <c r="EW96" s="56"/>
      <c r="EX96" s="56"/>
      <c r="EY96" s="56"/>
      <c r="EZ96" s="56"/>
      <c r="FA96" s="56"/>
    </row>
    <row r="97" spans="1:157" x14ac:dyDescent="0.35">
      <c r="A97" s="65" t="str">
        <f t="shared" si="10"/>
        <v/>
      </c>
      <c r="B97" s="68" t="str">
        <f>Stoff!A97</f>
        <v>nystoff 11</v>
      </c>
      <c r="C97" s="67">
        <f t="shared" si="11"/>
        <v>0</v>
      </c>
      <c r="D97" s="55">
        <f t="shared" si="12"/>
        <v>0</v>
      </c>
      <c r="E97" s="55" t="e">
        <f t="shared" si="13"/>
        <v>#DIV/0!</v>
      </c>
      <c r="F97" s="66" t="e">
        <f t="shared" si="14"/>
        <v>#NUM!</v>
      </c>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row>
    <row r="98" spans="1:157" x14ac:dyDescent="0.35">
      <c r="A98" s="65" t="str">
        <f t="shared" si="10"/>
        <v/>
      </c>
      <c r="B98" s="68" t="str">
        <f>Stoff!A98</f>
        <v>nystoff 12</v>
      </c>
      <c r="C98" s="67">
        <f t="shared" si="11"/>
        <v>0</v>
      </c>
      <c r="D98" s="55">
        <f t="shared" si="12"/>
        <v>0</v>
      </c>
      <c r="E98" s="55" t="e">
        <f t="shared" si="13"/>
        <v>#DIV/0!</v>
      </c>
      <c r="F98" s="66" t="e">
        <f t="shared" si="14"/>
        <v>#NUM!</v>
      </c>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row>
    <row r="99" spans="1:157" x14ac:dyDescent="0.35">
      <c r="A99" s="65" t="str">
        <f t="shared" si="10"/>
        <v/>
      </c>
      <c r="B99" s="68" t="str">
        <f>Stoff!A99</f>
        <v>nystoff 13</v>
      </c>
      <c r="C99" s="67">
        <f t="shared" si="11"/>
        <v>0</v>
      </c>
      <c r="D99" s="55">
        <f t="shared" si="12"/>
        <v>0</v>
      </c>
      <c r="E99" s="55" t="e">
        <f t="shared" si="13"/>
        <v>#DIV/0!</v>
      </c>
      <c r="F99" s="66" t="e">
        <f t="shared" si="14"/>
        <v>#NUM!</v>
      </c>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c r="EO99" s="56"/>
      <c r="EP99" s="56"/>
      <c r="EQ99" s="56"/>
      <c r="ER99" s="56"/>
      <c r="ES99" s="56"/>
      <c r="ET99" s="56"/>
      <c r="EU99" s="56"/>
      <c r="EV99" s="56"/>
      <c r="EW99" s="56"/>
      <c r="EX99" s="56"/>
      <c r="EY99" s="56"/>
      <c r="EZ99" s="56"/>
      <c r="FA99" s="56"/>
    </row>
    <row r="100" spans="1:157" x14ac:dyDescent="0.35">
      <c r="A100" s="65" t="str">
        <f t="shared" si="10"/>
        <v/>
      </c>
      <c r="B100" s="68" t="str">
        <f>Stoff!A100</f>
        <v>nystoff 14</v>
      </c>
      <c r="C100" s="67">
        <f t="shared" si="11"/>
        <v>0</v>
      </c>
      <c r="D100" s="55">
        <f t="shared" si="12"/>
        <v>0</v>
      </c>
      <c r="E100" s="55" t="e">
        <f t="shared" si="13"/>
        <v>#DIV/0!</v>
      </c>
      <c r="F100" s="66" t="e">
        <f t="shared" si="14"/>
        <v>#NUM!</v>
      </c>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c r="DQ100" s="56"/>
      <c r="DR100" s="56"/>
      <c r="DS100" s="56"/>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c r="EV100" s="56"/>
      <c r="EW100" s="56"/>
      <c r="EX100" s="56"/>
      <c r="EY100" s="56"/>
      <c r="EZ100" s="56"/>
      <c r="FA100" s="56"/>
    </row>
    <row r="101" spans="1:157" x14ac:dyDescent="0.35">
      <c r="A101" s="65" t="str">
        <f t="shared" si="10"/>
        <v/>
      </c>
      <c r="B101" s="68" t="str">
        <f>Stoff!A101</f>
        <v>nystoff 15</v>
      </c>
      <c r="C101" s="67">
        <f t="shared" si="11"/>
        <v>0</v>
      </c>
      <c r="D101" s="55">
        <f t="shared" si="12"/>
        <v>0</v>
      </c>
      <c r="E101" s="55" t="e">
        <f t="shared" si="13"/>
        <v>#DIV/0!</v>
      </c>
      <c r="F101" s="66" t="e">
        <f t="shared" si="14"/>
        <v>#NUM!</v>
      </c>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row>
    <row r="102" spans="1:157" x14ac:dyDescent="0.35">
      <c r="A102" s="65" t="str">
        <f t="shared" si="10"/>
        <v/>
      </c>
      <c r="B102" s="68" t="str">
        <f>Stoff!A102</f>
        <v>nystoff 16</v>
      </c>
      <c r="C102" s="67">
        <f t="shared" si="11"/>
        <v>0</v>
      </c>
      <c r="D102" s="55">
        <f t="shared" si="12"/>
        <v>0</v>
      </c>
      <c r="E102" s="55" t="e">
        <f t="shared" si="13"/>
        <v>#DIV/0!</v>
      </c>
      <c r="F102" s="66" t="e">
        <f t="shared" si="14"/>
        <v>#NUM!</v>
      </c>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6"/>
      <c r="DY102" s="56"/>
      <c r="DZ102" s="56"/>
      <c r="EA102" s="56"/>
      <c r="EB102" s="56"/>
      <c r="EC102" s="56"/>
      <c r="ED102" s="56"/>
      <c r="EE102" s="56"/>
      <c r="EF102" s="56"/>
      <c r="EG102" s="56"/>
      <c r="EH102" s="56"/>
      <c r="EI102" s="56"/>
      <c r="EJ102" s="56"/>
      <c r="EK102" s="56"/>
      <c r="EL102" s="56"/>
      <c r="EM102" s="56"/>
      <c r="EN102" s="56"/>
      <c r="EO102" s="56"/>
      <c r="EP102" s="56"/>
      <c r="EQ102" s="56"/>
      <c r="ER102" s="56"/>
      <c r="ES102" s="56"/>
      <c r="ET102" s="56"/>
      <c r="EU102" s="56"/>
      <c r="EV102" s="56"/>
      <c r="EW102" s="56"/>
      <c r="EX102" s="56"/>
      <c r="EY102" s="56"/>
      <c r="EZ102" s="56"/>
      <c r="FA102" s="56"/>
    </row>
    <row r="103" spans="1:157" x14ac:dyDescent="0.35">
      <c r="A103" s="65" t="str">
        <f t="shared" si="10"/>
        <v/>
      </c>
      <c r="B103" s="68" t="str">
        <f>Stoff!A103</f>
        <v>nystoff 17</v>
      </c>
      <c r="C103" s="67">
        <f t="shared" si="11"/>
        <v>0</v>
      </c>
      <c r="D103" s="55">
        <f t="shared" si="12"/>
        <v>0</v>
      </c>
      <c r="E103" s="55" t="e">
        <f t="shared" si="13"/>
        <v>#DIV/0!</v>
      </c>
      <c r="F103" s="66" t="e">
        <f t="shared" si="14"/>
        <v>#NUM!</v>
      </c>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6"/>
      <c r="EQ103" s="56"/>
      <c r="ER103" s="56"/>
      <c r="ES103" s="56"/>
      <c r="ET103" s="56"/>
      <c r="EU103" s="56"/>
      <c r="EV103" s="56"/>
      <c r="EW103" s="56"/>
      <c r="EX103" s="56"/>
      <c r="EY103" s="56"/>
      <c r="EZ103" s="56"/>
      <c r="FA103" s="56"/>
    </row>
    <row r="104" spans="1:157" x14ac:dyDescent="0.35">
      <c r="A104" s="65" t="str">
        <f t="shared" si="10"/>
        <v/>
      </c>
      <c r="B104" s="68" t="str">
        <f>Stoff!A104</f>
        <v>nystoff 18</v>
      </c>
      <c r="C104" s="67">
        <f t="shared" si="11"/>
        <v>0</v>
      </c>
      <c r="D104" s="55">
        <f t="shared" si="12"/>
        <v>0</v>
      </c>
      <c r="E104" s="55" t="e">
        <f t="shared" si="13"/>
        <v>#DIV/0!</v>
      </c>
      <c r="F104" s="66" t="e">
        <f t="shared" si="14"/>
        <v>#NUM!</v>
      </c>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row>
    <row r="105" spans="1:157" x14ac:dyDescent="0.35">
      <c r="A105" s="65" t="str">
        <f t="shared" si="10"/>
        <v/>
      </c>
      <c r="B105" s="68" t="str">
        <f>Stoff!A105</f>
        <v>nystoff 19</v>
      </c>
      <c r="C105" s="67">
        <f t="shared" si="11"/>
        <v>0</v>
      </c>
      <c r="D105" s="55">
        <f t="shared" si="12"/>
        <v>0</v>
      </c>
      <c r="E105" s="55" t="e">
        <f t="shared" si="13"/>
        <v>#DIV/0!</v>
      </c>
      <c r="F105" s="66" t="e">
        <f t="shared" si="14"/>
        <v>#NUM!</v>
      </c>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c r="EA105" s="56"/>
      <c r="EB105" s="56"/>
      <c r="EC105" s="56"/>
      <c r="ED105" s="56"/>
      <c r="EE105" s="56"/>
      <c r="EF105" s="56"/>
      <c r="EG105" s="56"/>
      <c r="EH105" s="56"/>
      <c r="EI105" s="56"/>
      <c r="EJ105" s="56"/>
      <c r="EK105" s="56"/>
      <c r="EL105" s="56"/>
      <c r="EM105" s="56"/>
      <c r="EN105" s="56"/>
      <c r="EO105" s="56"/>
      <c r="EP105" s="56"/>
      <c r="EQ105" s="56"/>
      <c r="ER105" s="56"/>
      <c r="ES105" s="56"/>
      <c r="ET105" s="56"/>
      <c r="EU105" s="56"/>
      <c r="EV105" s="56"/>
      <c r="EW105" s="56"/>
      <c r="EX105" s="56"/>
      <c r="EY105" s="56"/>
      <c r="EZ105" s="56"/>
      <c r="FA105" s="56"/>
    </row>
    <row r="106" spans="1:157" x14ac:dyDescent="0.35">
      <c r="A106" s="65" t="str">
        <f t="shared" si="10"/>
        <v/>
      </c>
      <c r="B106" s="68" t="str">
        <f>Stoff!A106</f>
        <v>nystoff 20</v>
      </c>
      <c r="C106" s="67">
        <f t="shared" si="11"/>
        <v>0</v>
      </c>
      <c r="D106" s="55">
        <f t="shared" si="12"/>
        <v>0</v>
      </c>
      <c r="E106" s="55" t="e">
        <f t="shared" si="13"/>
        <v>#DIV/0!</v>
      </c>
      <c r="F106" s="66" t="e">
        <f t="shared" si="14"/>
        <v>#NUM!</v>
      </c>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c r="DH106" s="56"/>
      <c r="DI106" s="56"/>
      <c r="DJ106" s="56"/>
      <c r="DK106" s="56"/>
      <c r="DL106" s="56"/>
      <c r="DM106" s="56"/>
      <c r="DN106" s="56"/>
      <c r="DO106" s="56"/>
      <c r="DP106" s="56"/>
      <c r="DQ106" s="56"/>
      <c r="DR106" s="56"/>
      <c r="DS106" s="56"/>
      <c r="DT106" s="56"/>
      <c r="DU106" s="56"/>
      <c r="DV106" s="56"/>
      <c r="DW106" s="56"/>
      <c r="DX106" s="56"/>
      <c r="DY106" s="56"/>
      <c r="DZ106" s="56"/>
      <c r="EA106" s="56"/>
      <c r="EB106" s="56"/>
      <c r="EC106" s="56"/>
      <c r="ED106" s="56"/>
      <c r="EE106" s="56"/>
      <c r="EF106" s="56"/>
      <c r="EG106" s="56"/>
      <c r="EH106" s="56"/>
      <c r="EI106" s="56"/>
      <c r="EJ106" s="56"/>
      <c r="EK106" s="56"/>
      <c r="EL106" s="56"/>
      <c r="EM106" s="56"/>
      <c r="EN106" s="56"/>
      <c r="EO106" s="56"/>
      <c r="EP106" s="56"/>
      <c r="EQ106" s="56"/>
      <c r="ER106" s="56"/>
      <c r="ES106" s="56"/>
      <c r="ET106" s="56"/>
      <c r="EU106" s="56"/>
      <c r="EV106" s="56"/>
      <c r="EW106" s="56"/>
      <c r="EX106" s="56"/>
      <c r="EY106" s="56"/>
      <c r="EZ106" s="56"/>
      <c r="FA106" s="56"/>
    </row>
    <row r="107" spans="1:157" x14ac:dyDescent="0.35">
      <c r="A107" s="65" t="str">
        <f t="shared" si="10"/>
        <v/>
      </c>
      <c r="B107" s="68" t="str">
        <f>Stoff!A107</f>
        <v>nystoff 21</v>
      </c>
      <c r="C107" s="67">
        <f t="shared" si="11"/>
        <v>0</v>
      </c>
      <c r="D107" s="55">
        <f t="shared" si="12"/>
        <v>0</v>
      </c>
      <c r="E107" s="55" t="e">
        <f t="shared" si="13"/>
        <v>#DIV/0!</v>
      </c>
      <c r="F107" s="66" t="e">
        <f t="shared" si="14"/>
        <v>#NUM!</v>
      </c>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row>
    <row r="108" spans="1:157" x14ac:dyDescent="0.35">
      <c r="A108" s="65" t="str">
        <f t="shared" si="10"/>
        <v/>
      </c>
      <c r="B108" s="68" t="str">
        <f>Stoff!A108</f>
        <v>nystoff 22</v>
      </c>
      <c r="C108" s="67">
        <f t="shared" si="11"/>
        <v>0</v>
      </c>
      <c r="D108" s="55">
        <f t="shared" si="12"/>
        <v>0</v>
      </c>
      <c r="E108" s="55" t="e">
        <f t="shared" si="13"/>
        <v>#DIV/0!</v>
      </c>
      <c r="F108" s="66" t="e">
        <f t="shared" si="14"/>
        <v>#NUM!</v>
      </c>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6"/>
      <c r="EB108" s="56"/>
      <c r="EC108" s="56"/>
      <c r="ED108" s="56"/>
      <c r="EE108" s="56"/>
      <c r="EF108" s="56"/>
      <c r="EG108" s="56"/>
      <c r="EH108" s="56"/>
      <c r="EI108" s="56"/>
      <c r="EJ108" s="56"/>
      <c r="EK108" s="56"/>
      <c r="EL108" s="56"/>
      <c r="EM108" s="56"/>
      <c r="EN108" s="56"/>
      <c r="EO108" s="56"/>
      <c r="EP108" s="56"/>
      <c r="EQ108" s="56"/>
      <c r="ER108" s="56"/>
      <c r="ES108" s="56"/>
      <c r="ET108" s="56"/>
      <c r="EU108" s="56"/>
      <c r="EV108" s="56"/>
      <c r="EW108" s="56"/>
      <c r="EX108" s="56"/>
      <c r="EY108" s="56"/>
      <c r="EZ108" s="56"/>
      <c r="FA108" s="56"/>
    </row>
    <row r="109" spans="1:157" x14ac:dyDescent="0.35">
      <c r="A109" s="65" t="str">
        <f t="shared" si="10"/>
        <v/>
      </c>
      <c r="B109" s="68" t="str">
        <f>Stoff!A109</f>
        <v>nystoff 23</v>
      </c>
      <c r="C109" s="67">
        <f t="shared" si="11"/>
        <v>0</v>
      </c>
      <c r="D109" s="55">
        <f t="shared" si="12"/>
        <v>0</v>
      </c>
      <c r="E109" s="55" t="e">
        <f t="shared" si="13"/>
        <v>#DIV/0!</v>
      </c>
      <c r="F109" s="66" t="e">
        <f t="shared" si="14"/>
        <v>#NUM!</v>
      </c>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6"/>
      <c r="DY109" s="56"/>
      <c r="DZ109" s="56"/>
      <c r="EA109" s="56"/>
      <c r="EB109" s="56"/>
      <c r="EC109" s="56"/>
      <c r="ED109" s="56"/>
      <c r="EE109" s="56"/>
      <c r="EF109" s="56"/>
      <c r="EG109" s="56"/>
      <c r="EH109" s="56"/>
      <c r="EI109" s="56"/>
      <c r="EJ109" s="56"/>
      <c r="EK109" s="56"/>
      <c r="EL109" s="56"/>
      <c r="EM109" s="56"/>
      <c r="EN109" s="56"/>
      <c r="EO109" s="56"/>
      <c r="EP109" s="56"/>
      <c r="EQ109" s="56"/>
      <c r="ER109" s="56"/>
      <c r="ES109" s="56"/>
      <c r="ET109" s="56"/>
      <c r="EU109" s="56"/>
      <c r="EV109" s="56"/>
      <c r="EW109" s="56"/>
      <c r="EX109" s="56"/>
      <c r="EY109" s="56"/>
      <c r="EZ109" s="56"/>
      <c r="FA109" s="56"/>
    </row>
    <row r="110" spans="1:157" x14ac:dyDescent="0.35">
      <c r="A110" s="65" t="str">
        <f t="shared" si="10"/>
        <v/>
      </c>
      <c r="B110" s="68" t="str">
        <f>Stoff!A110</f>
        <v>nystoff 24</v>
      </c>
      <c r="C110" s="67">
        <f t="shared" si="11"/>
        <v>0</v>
      </c>
      <c r="D110" s="55">
        <f t="shared" si="12"/>
        <v>0</v>
      </c>
      <c r="E110" s="55" t="e">
        <f t="shared" si="13"/>
        <v>#DIV/0!</v>
      </c>
      <c r="F110" s="66" t="e">
        <f t="shared" si="14"/>
        <v>#NUM!</v>
      </c>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c r="DY110" s="56"/>
      <c r="DZ110" s="56"/>
      <c r="EA110" s="56"/>
      <c r="EB110" s="56"/>
      <c r="EC110" s="56"/>
      <c r="ED110" s="56"/>
      <c r="EE110" s="56"/>
      <c r="EF110" s="56"/>
      <c r="EG110" s="56"/>
      <c r="EH110" s="56"/>
      <c r="EI110" s="56"/>
      <c r="EJ110" s="56"/>
      <c r="EK110" s="56"/>
      <c r="EL110" s="56"/>
      <c r="EM110" s="56"/>
      <c r="EN110" s="56"/>
      <c r="EO110" s="56"/>
      <c r="EP110" s="56"/>
      <c r="EQ110" s="56"/>
      <c r="ER110" s="56"/>
      <c r="ES110" s="56"/>
      <c r="ET110" s="56"/>
      <c r="EU110" s="56"/>
      <c r="EV110" s="56"/>
      <c r="EW110" s="56"/>
      <c r="EX110" s="56"/>
      <c r="EY110" s="56"/>
      <c r="EZ110" s="56"/>
      <c r="FA110" s="56"/>
    </row>
    <row r="111" spans="1:157" x14ac:dyDescent="0.35">
      <c r="A111" s="65" t="str">
        <f t="shared" si="10"/>
        <v/>
      </c>
      <c r="B111" s="68" t="str">
        <f>Stoff!A111</f>
        <v>nystoff 25</v>
      </c>
      <c r="C111" s="67">
        <f t="shared" si="11"/>
        <v>0</v>
      </c>
      <c r="D111" s="55">
        <f t="shared" si="12"/>
        <v>0</v>
      </c>
      <c r="E111" s="55" t="e">
        <f t="shared" si="13"/>
        <v>#DIV/0!</v>
      </c>
      <c r="F111" s="66" t="e">
        <f t="shared" si="14"/>
        <v>#NUM!</v>
      </c>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c r="ER111" s="56"/>
      <c r="ES111" s="56"/>
      <c r="ET111" s="56"/>
      <c r="EU111" s="56"/>
      <c r="EV111" s="56"/>
      <c r="EW111" s="56"/>
      <c r="EX111" s="56"/>
      <c r="EY111" s="56"/>
      <c r="EZ111" s="56"/>
      <c r="FA111" s="56"/>
    </row>
    <row r="112" spans="1:157" x14ac:dyDescent="0.35">
      <c r="A112" s="65" t="str">
        <f t="shared" si="10"/>
        <v/>
      </c>
      <c r="B112" s="68" t="str">
        <f>Stoff!A112</f>
        <v>nystoff 26</v>
      </c>
      <c r="C112" s="67">
        <f t="shared" si="11"/>
        <v>0</v>
      </c>
      <c r="D112" s="55">
        <f t="shared" si="12"/>
        <v>0</v>
      </c>
      <c r="E112" s="55" t="e">
        <f t="shared" si="13"/>
        <v>#DIV/0!</v>
      </c>
      <c r="F112" s="66" t="e">
        <f t="shared" si="14"/>
        <v>#NUM!</v>
      </c>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DF112" s="56"/>
      <c r="DG112" s="56"/>
      <c r="DH112" s="56"/>
      <c r="DI112" s="56"/>
      <c r="DJ112" s="56"/>
      <c r="DK112" s="56"/>
      <c r="DL112" s="56"/>
      <c r="DM112" s="56"/>
      <c r="DN112" s="56"/>
      <c r="DO112" s="56"/>
      <c r="DP112" s="56"/>
      <c r="DQ112" s="56"/>
      <c r="DR112" s="56"/>
      <c r="DS112" s="56"/>
      <c r="DT112" s="56"/>
      <c r="DU112" s="56"/>
      <c r="DV112" s="56"/>
      <c r="DW112" s="56"/>
      <c r="DX112" s="56"/>
      <c r="DY112" s="56"/>
      <c r="DZ112" s="56"/>
      <c r="EA112" s="56"/>
      <c r="EB112" s="56"/>
      <c r="EC112" s="56"/>
      <c r="ED112" s="56"/>
      <c r="EE112" s="56"/>
      <c r="EF112" s="56"/>
      <c r="EG112" s="56"/>
      <c r="EH112" s="56"/>
      <c r="EI112" s="56"/>
      <c r="EJ112" s="56"/>
      <c r="EK112" s="56"/>
      <c r="EL112" s="56"/>
      <c r="EM112" s="56"/>
      <c r="EN112" s="56"/>
      <c r="EO112" s="56"/>
      <c r="EP112" s="56"/>
      <c r="EQ112" s="56"/>
      <c r="ER112" s="56"/>
      <c r="ES112" s="56"/>
      <c r="ET112" s="56"/>
      <c r="EU112" s="56"/>
      <c r="EV112" s="56"/>
      <c r="EW112" s="56"/>
      <c r="EX112" s="56"/>
      <c r="EY112" s="56"/>
      <c r="EZ112" s="56"/>
      <c r="FA112" s="56"/>
    </row>
    <row r="113" spans="1:157" x14ac:dyDescent="0.35">
      <c r="A113" s="65" t="str">
        <f t="shared" si="10"/>
        <v/>
      </c>
      <c r="B113" s="68" t="str">
        <f>Stoff!A113</f>
        <v>nystoff 27</v>
      </c>
      <c r="C113" s="67">
        <f t="shared" si="11"/>
        <v>0</v>
      </c>
      <c r="D113" s="55">
        <f t="shared" si="12"/>
        <v>0</v>
      </c>
      <c r="E113" s="55" t="e">
        <f t="shared" si="13"/>
        <v>#DIV/0!</v>
      </c>
      <c r="F113" s="66" t="e">
        <f t="shared" si="14"/>
        <v>#NUM!</v>
      </c>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c r="DH113" s="56"/>
      <c r="DI113" s="56"/>
      <c r="DJ113" s="56"/>
      <c r="DK113" s="56"/>
      <c r="DL113" s="56"/>
      <c r="DM113" s="56"/>
      <c r="DN113" s="56"/>
      <c r="DO113" s="56"/>
      <c r="DP113" s="56"/>
      <c r="DQ113" s="56"/>
      <c r="DR113" s="56"/>
      <c r="DS113" s="56"/>
      <c r="DT113" s="56"/>
      <c r="DU113" s="56"/>
      <c r="DV113" s="56"/>
      <c r="DW113" s="56"/>
      <c r="DX113" s="56"/>
      <c r="DY113" s="56"/>
      <c r="DZ113" s="56"/>
      <c r="EA113" s="56"/>
      <c r="EB113" s="56"/>
      <c r="EC113" s="56"/>
      <c r="ED113" s="56"/>
      <c r="EE113" s="56"/>
      <c r="EF113" s="56"/>
      <c r="EG113" s="56"/>
      <c r="EH113" s="56"/>
      <c r="EI113" s="56"/>
      <c r="EJ113" s="56"/>
      <c r="EK113" s="56"/>
      <c r="EL113" s="56"/>
      <c r="EM113" s="56"/>
      <c r="EN113" s="56"/>
      <c r="EO113" s="56"/>
      <c r="EP113" s="56"/>
      <c r="EQ113" s="56"/>
      <c r="ER113" s="56"/>
      <c r="ES113" s="56"/>
      <c r="ET113" s="56"/>
      <c r="EU113" s="56"/>
      <c r="EV113" s="56"/>
      <c r="EW113" s="56"/>
      <c r="EX113" s="56"/>
      <c r="EY113" s="56"/>
      <c r="EZ113" s="56"/>
      <c r="FA113" s="56"/>
    </row>
    <row r="114" spans="1:157" x14ac:dyDescent="0.35">
      <c r="A114" s="65" t="str">
        <f t="shared" si="10"/>
        <v/>
      </c>
      <c r="B114" s="68" t="str">
        <f>Stoff!A114</f>
        <v>nystoff 28</v>
      </c>
      <c r="C114" s="67">
        <f t="shared" si="11"/>
        <v>0</v>
      </c>
      <c r="D114" s="55">
        <f t="shared" si="12"/>
        <v>0</v>
      </c>
      <c r="E114" s="55" t="e">
        <f t="shared" si="13"/>
        <v>#DIV/0!</v>
      </c>
      <c r="F114" s="66" t="e">
        <f t="shared" si="14"/>
        <v>#NUM!</v>
      </c>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c r="EA114" s="56"/>
      <c r="EB114" s="56"/>
      <c r="EC114" s="56"/>
      <c r="ED114" s="56"/>
      <c r="EE114" s="56"/>
      <c r="EF114" s="56"/>
      <c r="EG114" s="56"/>
      <c r="EH114" s="56"/>
      <c r="EI114" s="56"/>
      <c r="EJ114" s="56"/>
      <c r="EK114" s="56"/>
      <c r="EL114" s="56"/>
      <c r="EM114" s="56"/>
      <c r="EN114" s="56"/>
      <c r="EO114" s="56"/>
      <c r="EP114" s="56"/>
      <c r="EQ114" s="56"/>
      <c r="ER114" s="56"/>
      <c r="ES114" s="56"/>
      <c r="ET114" s="56"/>
      <c r="EU114" s="56"/>
      <c r="EV114" s="56"/>
      <c r="EW114" s="56"/>
      <c r="EX114" s="56"/>
      <c r="EY114" s="56"/>
      <c r="EZ114" s="56"/>
      <c r="FA114" s="56"/>
    </row>
  </sheetData>
  <sheetProtection sheet="1" objects="1" scenarios="1" selectLockedCells="1"/>
  <mergeCells count="4">
    <mergeCell ref="C1:E2"/>
    <mergeCell ref="F1:F2"/>
    <mergeCell ref="G1:L2"/>
    <mergeCell ref="B2:B3"/>
  </mergeCells>
  <conditionalFormatting sqref="D4:F114">
    <cfRule type="expression" dxfId="53" priority="7" stopIfTrue="1">
      <formula>$D4=0</formula>
    </cfRule>
  </conditionalFormatting>
  <conditionalFormatting sqref="BJ4:IV37 BJ38:FA51 G4:BI51">
    <cfRule type="cellIs" dxfId="52" priority="8" stopIfTrue="1" operator="equal">
      <formula>0</formula>
    </cfRule>
  </conditionalFormatting>
  <conditionalFormatting sqref="C4:C69">
    <cfRule type="expression" dxfId="51" priority="9" stopIfTrue="1">
      <formula>C4=0</formula>
    </cfRule>
  </conditionalFormatting>
  <conditionalFormatting sqref="G52:FA69">
    <cfRule type="cellIs" dxfId="50" priority="6" stopIfTrue="1" operator="equal">
      <formula>0</formula>
    </cfRule>
  </conditionalFormatting>
  <conditionalFormatting sqref="C70:C114">
    <cfRule type="expression" dxfId="49" priority="5" stopIfTrue="1">
      <formula>C70=0</formula>
    </cfRule>
  </conditionalFormatting>
  <conditionalFormatting sqref="G70:FA114">
    <cfRule type="cellIs" dxfId="48" priority="4" stopIfTrue="1" operator="equal">
      <formula>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2"/>
  </sheetPr>
  <dimension ref="A1:IV114"/>
  <sheetViews>
    <sheetView workbookViewId="0">
      <selection activeCell="H114" sqref="H114"/>
    </sheetView>
  </sheetViews>
  <sheetFormatPr baseColWidth="10" defaultColWidth="11.453125" defaultRowHeight="14.5" x14ac:dyDescent="0.35"/>
  <cols>
    <col min="1" max="1" width="2.81640625" style="64" customWidth="1"/>
    <col min="2" max="2" width="48.7265625" style="65" customWidth="1"/>
    <col min="3" max="3" width="7" style="57" customWidth="1"/>
    <col min="4" max="4" width="9.7265625" style="57" customWidth="1"/>
    <col min="5" max="5" width="12.26953125" style="57" customWidth="1"/>
    <col min="6" max="6" width="16.26953125" style="57" customWidth="1"/>
    <col min="7" max="7" width="9.54296875" style="55" customWidth="1"/>
    <col min="8" max="11" width="9.54296875" style="57" customWidth="1"/>
    <col min="12" max="12" width="9.453125" style="57" customWidth="1"/>
    <col min="13" max="15" width="9.54296875" style="57" customWidth="1"/>
    <col min="16" max="18" width="10" style="57" customWidth="1"/>
    <col min="19" max="137" width="9.1796875" style="57" customWidth="1"/>
    <col min="138" max="256" width="11.453125" style="64"/>
  </cols>
  <sheetData>
    <row r="1" spans="1:247" ht="15" customHeight="1" x14ac:dyDescent="0.35">
      <c r="B1" s="78"/>
      <c r="C1" s="379" t="s">
        <v>676</v>
      </c>
      <c r="D1" s="379"/>
      <c r="E1" s="379"/>
      <c r="F1" s="380" t="s">
        <v>465</v>
      </c>
      <c r="G1" s="382" t="s">
        <v>767</v>
      </c>
      <c r="H1" s="383"/>
      <c r="I1" s="383"/>
      <c r="J1" s="383"/>
      <c r="K1" s="383"/>
      <c r="L1" s="384"/>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row>
    <row r="2" spans="1:247" x14ac:dyDescent="0.35">
      <c r="A2" s="64" t="s">
        <v>137</v>
      </c>
      <c r="B2" s="388" t="s">
        <v>211</v>
      </c>
      <c r="C2" s="379"/>
      <c r="D2" s="379"/>
      <c r="E2" s="379"/>
      <c r="F2" s="381"/>
      <c r="G2" s="385"/>
      <c r="H2" s="386"/>
      <c r="I2" s="386"/>
      <c r="J2" s="386"/>
      <c r="K2" s="386"/>
      <c r="L2" s="387"/>
      <c r="M2" s="77"/>
      <c r="N2" s="77"/>
      <c r="O2" s="77"/>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5"/>
      <c r="EI2" s="75"/>
      <c r="EJ2" s="75"/>
      <c r="EK2" s="75"/>
      <c r="EL2" s="75"/>
      <c r="EM2" s="75"/>
      <c r="EN2" s="75"/>
      <c r="EO2" s="75"/>
      <c r="EP2" s="75"/>
      <c r="EQ2" s="75"/>
      <c r="ER2" s="75"/>
      <c r="ES2" s="75"/>
      <c r="ET2" s="75"/>
      <c r="EU2" s="75"/>
      <c r="EV2" s="75"/>
      <c r="EW2" s="75"/>
      <c r="EX2" s="75"/>
      <c r="EY2" s="75"/>
      <c r="EZ2" s="75"/>
      <c r="FA2" s="75"/>
      <c r="FB2" s="75"/>
      <c r="FC2" s="75"/>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row>
    <row r="3" spans="1:247" ht="58.5" x14ac:dyDescent="0.35">
      <c r="A3" s="65" t="s">
        <v>137</v>
      </c>
      <c r="B3" s="388"/>
      <c r="C3" s="74" t="s">
        <v>464</v>
      </c>
      <c r="D3" s="74" t="s">
        <v>496</v>
      </c>
      <c r="E3" s="74" t="s">
        <v>497</v>
      </c>
      <c r="F3" s="74" t="s">
        <v>491</v>
      </c>
      <c r="G3" s="73" t="s">
        <v>463</v>
      </c>
      <c r="H3" s="73" t="s">
        <v>462</v>
      </c>
      <c r="I3" s="73" t="s">
        <v>461</v>
      </c>
      <c r="J3" s="73" t="s">
        <v>460</v>
      </c>
      <c r="K3" s="73" t="s">
        <v>459</v>
      </c>
      <c r="L3" s="73" t="s">
        <v>458</v>
      </c>
      <c r="M3" s="73" t="s">
        <v>457</v>
      </c>
      <c r="N3" s="73" t="s">
        <v>456</v>
      </c>
      <c r="O3" s="73" t="s">
        <v>455</v>
      </c>
      <c r="P3" s="73" t="s">
        <v>454</v>
      </c>
      <c r="Q3" s="73" t="s">
        <v>453</v>
      </c>
      <c r="R3" s="73" t="s">
        <v>452</v>
      </c>
      <c r="S3" s="73" t="s">
        <v>451</v>
      </c>
      <c r="T3" s="73" t="s">
        <v>450</v>
      </c>
      <c r="U3" s="73" t="s">
        <v>449</v>
      </c>
      <c r="V3" s="73" t="s">
        <v>448</v>
      </c>
      <c r="W3" s="73" t="s">
        <v>447</v>
      </c>
      <c r="X3" s="73" t="s">
        <v>446</v>
      </c>
      <c r="Y3" s="73" t="s">
        <v>445</v>
      </c>
      <c r="Z3" s="73" t="s">
        <v>444</v>
      </c>
      <c r="AA3" s="73" t="s">
        <v>443</v>
      </c>
      <c r="AB3" s="73" t="s">
        <v>442</v>
      </c>
      <c r="AC3" s="73" t="s">
        <v>441</v>
      </c>
      <c r="AD3" s="73" t="s">
        <v>440</v>
      </c>
      <c r="AE3" s="73" t="s">
        <v>439</v>
      </c>
      <c r="AF3" s="73" t="s">
        <v>438</v>
      </c>
      <c r="AG3" s="73" t="s">
        <v>437</v>
      </c>
      <c r="AH3" s="73" t="s">
        <v>436</v>
      </c>
      <c r="AI3" s="73" t="s">
        <v>435</v>
      </c>
      <c r="AJ3" s="73" t="s">
        <v>434</v>
      </c>
      <c r="AK3" s="73" t="s">
        <v>433</v>
      </c>
      <c r="AL3" s="73" t="s">
        <v>432</v>
      </c>
      <c r="AM3" s="73" t="s">
        <v>431</v>
      </c>
      <c r="AN3" s="73" t="s">
        <v>430</v>
      </c>
      <c r="AO3" s="73" t="s">
        <v>429</v>
      </c>
      <c r="AP3" s="73" t="s">
        <v>428</v>
      </c>
      <c r="AQ3" s="73" t="s">
        <v>427</v>
      </c>
      <c r="AR3" s="73" t="s">
        <v>426</v>
      </c>
      <c r="AS3" s="73" t="s">
        <v>425</v>
      </c>
      <c r="AT3" s="73" t="s">
        <v>424</v>
      </c>
      <c r="AU3" s="73" t="s">
        <v>423</v>
      </c>
      <c r="AV3" s="73" t="s">
        <v>422</v>
      </c>
      <c r="AW3" s="73" t="s">
        <v>421</v>
      </c>
      <c r="AX3" s="73" t="s">
        <v>420</v>
      </c>
      <c r="AY3" s="73" t="s">
        <v>419</v>
      </c>
      <c r="AZ3" s="73" t="s">
        <v>418</v>
      </c>
      <c r="BA3" s="73" t="s">
        <v>417</v>
      </c>
      <c r="BB3" s="73" t="s">
        <v>416</v>
      </c>
      <c r="BC3" s="73" t="s">
        <v>415</v>
      </c>
      <c r="BD3" s="73" t="s">
        <v>414</v>
      </c>
      <c r="BE3" s="73" t="s">
        <v>413</v>
      </c>
      <c r="BF3" s="73" t="s">
        <v>412</v>
      </c>
      <c r="BG3" s="73" t="s">
        <v>411</v>
      </c>
      <c r="BH3" s="73" t="s">
        <v>410</v>
      </c>
      <c r="BI3" s="73" t="s">
        <v>409</v>
      </c>
      <c r="BJ3" s="73" t="s">
        <v>408</v>
      </c>
      <c r="BK3" s="73" t="s">
        <v>407</v>
      </c>
      <c r="BL3" s="73" t="s">
        <v>406</v>
      </c>
      <c r="BM3" s="73" t="s">
        <v>405</v>
      </c>
      <c r="BN3" s="73" t="s">
        <v>404</v>
      </c>
      <c r="BO3" s="73" t="s">
        <v>403</v>
      </c>
      <c r="BP3" s="73" t="s">
        <v>402</v>
      </c>
      <c r="BQ3" s="73" t="s">
        <v>401</v>
      </c>
      <c r="BR3" s="73" t="s">
        <v>400</v>
      </c>
      <c r="BS3" s="73" t="s">
        <v>399</v>
      </c>
      <c r="BT3" s="73" t="s">
        <v>398</v>
      </c>
      <c r="BU3" s="73" t="s">
        <v>397</v>
      </c>
      <c r="BV3" s="73" t="s">
        <v>396</v>
      </c>
      <c r="BW3" s="73" t="s">
        <v>395</v>
      </c>
      <c r="BX3" s="73" t="s">
        <v>394</v>
      </c>
      <c r="BY3" s="73" t="s">
        <v>393</v>
      </c>
      <c r="BZ3" s="73" t="s">
        <v>392</v>
      </c>
      <c r="CA3" s="73" t="s">
        <v>391</v>
      </c>
      <c r="CB3" s="73" t="s">
        <v>390</v>
      </c>
      <c r="CC3" s="73" t="s">
        <v>389</v>
      </c>
      <c r="CD3" s="73" t="s">
        <v>388</v>
      </c>
      <c r="CE3" s="73" t="s">
        <v>387</v>
      </c>
      <c r="CF3" s="73" t="s">
        <v>386</v>
      </c>
      <c r="CG3" s="73" t="s">
        <v>385</v>
      </c>
      <c r="CH3" s="73" t="s">
        <v>384</v>
      </c>
      <c r="CI3" s="73" t="s">
        <v>383</v>
      </c>
      <c r="CJ3" s="73" t="s">
        <v>382</v>
      </c>
      <c r="CK3" s="73" t="s">
        <v>381</v>
      </c>
      <c r="CL3" s="73" t="s">
        <v>380</v>
      </c>
      <c r="CM3" s="73" t="s">
        <v>379</v>
      </c>
      <c r="CN3" s="73" t="s">
        <v>378</v>
      </c>
      <c r="CO3" s="73" t="s">
        <v>377</v>
      </c>
      <c r="CP3" s="73" t="s">
        <v>376</v>
      </c>
      <c r="CQ3" s="73" t="s">
        <v>375</v>
      </c>
      <c r="CR3" s="73" t="s">
        <v>374</v>
      </c>
      <c r="CS3" s="73" t="s">
        <v>373</v>
      </c>
      <c r="CT3" s="73" t="s">
        <v>372</v>
      </c>
      <c r="CU3" s="73" t="s">
        <v>371</v>
      </c>
      <c r="CV3" s="73" t="s">
        <v>370</v>
      </c>
      <c r="CW3" s="73" t="s">
        <v>369</v>
      </c>
      <c r="CX3" s="73" t="s">
        <v>368</v>
      </c>
      <c r="CY3" s="73" t="s">
        <v>367</v>
      </c>
      <c r="CZ3" s="73" t="s">
        <v>366</v>
      </c>
      <c r="DA3" s="73" t="s">
        <v>365</v>
      </c>
      <c r="DB3" s="73" t="s">
        <v>364</v>
      </c>
      <c r="DC3" s="73" t="s">
        <v>363</v>
      </c>
      <c r="DD3" s="73" t="s">
        <v>362</v>
      </c>
      <c r="DE3" s="73" t="s">
        <v>361</v>
      </c>
      <c r="DF3" s="73" t="s">
        <v>360</v>
      </c>
      <c r="DG3" s="73" t="s">
        <v>359</v>
      </c>
      <c r="DH3" s="73" t="s">
        <v>358</v>
      </c>
      <c r="DI3" s="73" t="s">
        <v>357</v>
      </c>
      <c r="DJ3" s="73" t="s">
        <v>356</v>
      </c>
      <c r="DK3" s="73" t="s">
        <v>355</v>
      </c>
      <c r="DL3" s="73" t="s">
        <v>354</v>
      </c>
      <c r="DM3" s="73" t="s">
        <v>353</v>
      </c>
      <c r="DN3" s="73" t="s">
        <v>352</v>
      </c>
      <c r="DO3" s="73" t="s">
        <v>351</v>
      </c>
      <c r="DP3" s="73" t="s">
        <v>350</v>
      </c>
      <c r="DQ3" s="73" t="s">
        <v>349</v>
      </c>
      <c r="DR3" s="73" t="s">
        <v>348</v>
      </c>
      <c r="DS3" s="73" t="s">
        <v>347</v>
      </c>
      <c r="DT3" s="73" t="s">
        <v>346</v>
      </c>
      <c r="DU3" s="73" t="s">
        <v>345</v>
      </c>
      <c r="DV3" s="73" t="s">
        <v>344</v>
      </c>
      <c r="DW3" s="73" t="s">
        <v>343</v>
      </c>
      <c r="DX3" s="73" t="s">
        <v>342</v>
      </c>
      <c r="DY3" s="73" t="s">
        <v>341</v>
      </c>
      <c r="DZ3" s="73" t="s">
        <v>340</v>
      </c>
      <c r="EA3" s="73" t="s">
        <v>339</v>
      </c>
      <c r="EB3" s="73" t="s">
        <v>338</v>
      </c>
      <c r="EC3" s="73" t="s">
        <v>337</v>
      </c>
      <c r="ED3" s="73" t="s">
        <v>336</v>
      </c>
      <c r="EE3" s="73" t="s">
        <v>335</v>
      </c>
      <c r="EF3" s="73" t="s">
        <v>334</v>
      </c>
      <c r="EG3" s="73" t="s">
        <v>333</v>
      </c>
      <c r="EH3" s="73" t="s">
        <v>332</v>
      </c>
      <c r="EI3" s="73" t="s">
        <v>331</v>
      </c>
      <c r="EJ3" s="73" t="s">
        <v>330</v>
      </c>
      <c r="EK3" s="73" t="s">
        <v>329</v>
      </c>
      <c r="EL3" s="73" t="s">
        <v>328</v>
      </c>
      <c r="EM3" s="73" t="s">
        <v>327</v>
      </c>
      <c r="EN3" s="73" t="s">
        <v>326</v>
      </c>
      <c r="EO3" s="73" t="s">
        <v>325</v>
      </c>
      <c r="EP3" s="73" t="s">
        <v>324</v>
      </c>
      <c r="EQ3" s="73" t="s">
        <v>323</v>
      </c>
      <c r="ER3" s="73" t="s">
        <v>322</v>
      </c>
      <c r="ES3" s="73" t="s">
        <v>321</v>
      </c>
      <c r="ET3" s="73" t="s">
        <v>320</v>
      </c>
      <c r="EU3" s="73" t="s">
        <v>319</v>
      </c>
      <c r="EV3" s="73" t="s">
        <v>318</v>
      </c>
      <c r="EW3" s="73" t="s">
        <v>317</v>
      </c>
      <c r="EX3" s="73" t="s">
        <v>316</v>
      </c>
      <c r="EY3" s="73" t="s">
        <v>315</v>
      </c>
      <c r="EZ3" s="73" t="s">
        <v>314</v>
      </c>
      <c r="FA3" s="73" t="s">
        <v>313</v>
      </c>
      <c r="FB3" s="73" t="s">
        <v>312</v>
      </c>
      <c r="FC3" s="73" t="s">
        <v>311</v>
      </c>
      <c r="FD3" s="73" t="s">
        <v>310</v>
      </c>
      <c r="FE3" s="73" t="s">
        <v>309</v>
      </c>
      <c r="FF3" s="73" t="s">
        <v>308</v>
      </c>
      <c r="FG3" s="73" t="s">
        <v>307</v>
      </c>
      <c r="FH3" s="73" t="s">
        <v>306</v>
      </c>
      <c r="FI3" s="73" t="s">
        <v>305</v>
      </c>
      <c r="FJ3" s="73" t="s">
        <v>304</v>
      </c>
      <c r="FK3" s="73" t="s">
        <v>303</v>
      </c>
      <c r="FL3" s="73" t="s">
        <v>302</v>
      </c>
      <c r="FM3" s="73" t="s">
        <v>301</v>
      </c>
      <c r="FN3" s="73" t="s">
        <v>300</v>
      </c>
      <c r="FO3" s="73" t="s">
        <v>299</v>
      </c>
      <c r="FP3" s="73" t="s">
        <v>298</v>
      </c>
      <c r="FQ3" s="73" t="s">
        <v>297</v>
      </c>
      <c r="FR3" s="73" t="s">
        <v>296</v>
      </c>
      <c r="FS3" s="73" t="s">
        <v>295</v>
      </c>
      <c r="FT3" s="73" t="s">
        <v>294</v>
      </c>
      <c r="FU3" s="73" t="s">
        <v>293</v>
      </c>
      <c r="FV3" s="73" t="s">
        <v>292</v>
      </c>
      <c r="FW3" s="73" t="s">
        <v>291</v>
      </c>
      <c r="FX3" s="73" t="s">
        <v>290</v>
      </c>
      <c r="FY3" s="73" t="s">
        <v>289</v>
      </c>
      <c r="FZ3" s="73" t="s">
        <v>288</v>
      </c>
      <c r="GA3" s="73" t="s">
        <v>287</v>
      </c>
      <c r="GB3" s="73" t="s">
        <v>286</v>
      </c>
      <c r="GC3" s="73" t="s">
        <v>285</v>
      </c>
      <c r="GD3" s="73" t="s">
        <v>284</v>
      </c>
      <c r="GE3" s="73" t="s">
        <v>283</v>
      </c>
      <c r="GF3" s="73" t="s">
        <v>282</v>
      </c>
      <c r="GG3" s="73" t="s">
        <v>281</v>
      </c>
      <c r="GH3" s="73" t="s">
        <v>280</v>
      </c>
      <c r="GI3" s="73" t="s">
        <v>279</v>
      </c>
      <c r="GJ3" s="73" t="s">
        <v>278</v>
      </c>
      <c r="GK3" s="73" t="s">
        <v>277</v>
      </c>
      <c r="GL3" s="73" t="s">
        <v>276</v>
      </c>
      <c r="GM3" s="73" t="s">
        <v>275</v>
      </c>
      <c r="GN3" s="73" t="s">
        <v>274</v>
      </c>
      <c r="GO3" s="73" t="s">
        <v>273</v>
      </c>
      <c r="GP3" s="73" t="s">
        <v>272</v>
      </c>
      <c r="GQ3" s="73" t="s">
        <v>271</v>
      </c>
      <c r="GR3" s="73" t="s">
        <v>270</v>
      </c>
      <c r="GS3" s="73" t="s">
        <v>269</v>
      </c>
      <c r="GT3" s="73" t="s">
        <v>268</v>
      </c>
      <c r="GU3" s="73" t="s">
        <v>267</v>
      </c>
      <c r="GV3" s="73" t="s">
        <v>266</v>
      </c>
      <c r="GW3" s="73" t="s">
        <v>265</v>
      </c>
      <c r="GX3" s="73" t="s">
        <v>264</v>
      </c>
      <c r="GY3" s="73" t="s">
        <v>263</v>
      </c>
      <c r="GZ3" s="73" t="s">
        <v>262</v>
      </c>
      <c r="HA3" s="73" t="s">
        <v>261</v>
      </c>
      <c r="HB3" s="73" t="s">
        <v>260</v>
      </c>
      <c r="HC3" s="73" t="s">
        <v>259</v>
      </c>
      <c r="HD3" s="73" t="s">
        <v>258</v>
      </c>
      <c r="HE3" s="73" t="s">
        <v>257</v>
      </c>
      <c r="HF3" s="73" t="s">
        <v>256</v>
      </c>
      <c r="HG3" s="73" t="s">
        <v>255</v>
      </c>
      <c r="HH3" s="73" t="s">
        <v>254</v>
      </c>
      <c r="HI3" s="73" t="s">
        <v>253</v>
      </c>
      <c r="HJ3" s="73" t="s">
        <v>252</v>
      </c>
      <c r="HK3" s="73" t="s">
        <v>251</v>
      </c>
      <c r="HL3" s="73" t="s">
        <v>250</v>
      </c>
      <c r="HM3" s="73" t="s">
        <v>249</v>
      </c>
      <c r="HN3" s="73" t="s">
        <v>248</v>
      </c>
      <c r="HO3" s="73" t="s">
        <v>247</v>
      </c>
      <c r="HP3" s="73" t="s">
        <v>246</v>
      </c>
      <c r="HQ3" s="73" t="s">
        <v>245</v>
      </c>
      <c r="HR3" s="73" t="s">
        <v>244</v>
      </c>
      <c r="HS3" s="73" t="s">
        <v>243</v>
      </c>
      <c r="HT3" s="73" t="s">
        <v>242</v>
      </c>
      <c r="HU3" s="73" t="s">
        <v>241</v>
      </c>
      <c r="HV3" s="73" t="s">
        <v>240</v>
      </c>
      <c r="HW3" s="73" t="s">
        <v>239</v>
      </c>
      <c r="HX3" s="73" t="s">
        <v>238</v>
      </c>
      <c r="HY3" s="73" t="s">
        <v>237</v>
      </c>
      <c r="HZ3" s="73" t="s">
        <v>236</v>
      </c>
      <c r="IA3" s="73" t="s">
        <v>235</v>
      </c>
      <c r="IB3" s="73" t="s">
        <v>234</v>
      </c>
      <c r="IC3" s="73" t="s">
        <v>233</v>
      </c>
      <c r="ID3" s="73" t="s">
        <v>232</v>
      </c>
      <c r="IE3" s="73" t="s">
        <v>231</v>
      </c>
      <c r="IF3" s="73" t="s">
        <v>230</v>
      </c>
      <c r="IG3" s="73" t="s">
        <v>229</v>
      </c>
      <c r="IH3" s="73" t="s">
        <v>228</v>
      </c>
      <c r="II3" s="73" t="s">
        <v>227</v>
      </c>
      <c r="IJ3" s="73" t="s">
        <v>226</v>
      </c>
      <c r="IK3" s="73" t="s">
        <v>225</v>
      </c>
      <c r="IL3" s="73" t="s">
        <v>224</v>
      </c>
      <c r="IM3" s="73" t="s">
        <v>223</v>
      </c>
    </row>
    <row r="4" spans="1:247" x14ac:dyDescent="0.35">
      <c r="A4" s="65" t="str">
        <f t="shared" ref="A4:A34" si="0">IF(C4&gt;0,"x","")</f>
        <v/>
      </c>
      <c r="B4" s="68" t="str">
        <f>Stoff!A4</f>
        <v>Arsen</v>
      </c>
      <c r="C4" s="67">
        <f t="shared" ref="C4:C34" si="1">COUNT(G4:IV4)</f>
        <v>0</v>
      </c>
      <c r="D4" s="55">
        <f t="shared" ref="D4:D34" si="2">MAXA(G4:IV4)</f>
        <v>0</v>
      </c>
      <c r="E4" s="55" t="e">
        <f t="shared" ref="E4:E34" si="3">AVERAGE(G4:IV4)</f>
        <v>#DIV/0!</v>
      </c>
      <c r="F4" s="66" t="e">
        <f t="shared" ref="F4:F34" si="4">D4/MEDIAN(G4:IV4)</f>
        <v>#NUM!</v>
      </c>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c r="CB4" s="56"/>
      <c r="CC4" s="56"/>
      <c r="CD4" s="56"/>
      <c r="CE4" s="56"/>
      <c r="CF4" s="56"/>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70"/>
      <c r="EE4" s="70"/>
      <c r="EF4" s="70"/>
      <c r="EG4" s="70"/>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row>
    <row r="5" spans="1:247" x14ac:dyDescent="0.35">
      <c r="A5" s="65" t="str">
        <f t="shared" si="0"/>
        <v/>
      </c>
      <c r="B5" s="68" t="str">
        <f>Stoff!A5</f>
        <v>Bly</v>
      </c>
      <c r="C5" s="67">
        <f t="shared" si="1"/>
        <v>0</v>
      </c>
      <c r="D5" s="55">
        <f t="shared" si="2"/>
        <v>0</v>
      </c>
      <c r="E5" s="55" t="e">
        <f t="shared" si="3"/>
        <v>#DIV/0!</v>
      </c>
      <c r="F5" s="66" t="e">
        <f t="shared" si="4"/>
        <v>#NUM!</v>
      </c>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70"/>
      <c r="EE5" s="70"/>
      <c r="EF5" s="70"/>
      <c r="EG5" s="70"/>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row>
    <row r="6" spans="1:247" x14ac:dyDescent="0.35">
      <c r="A6" s="65" t="str">
        <f t="shared" si="0"/>
        <v/>
      </c>
      <c r="B6" s="68" t="str">
        <f>Stoff!A6</f>
        <v>Kadmium</v>
      </c>
      <c r="C6" s="67">
        <f t="shared" si="1"/>
        <v>0</v>
      </c>
      <c r="D6" s="55">
        <f t="shared" si="2"/>
        <v>0</v>
      </c>
      <c r="E6" s="55" t="e">
        <f t="shared" si="3"/>
        <v>#DIV/0!</v>
      </c>
      <c r="F6" s="66" t="e">
        <f t="shared" si="4"/>
        <v>#NUM!</v>
      </c>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70"/>
      <c r="EE6" s="70"/>
      <c r="EF6" s="70"/>
      <c r="EG6" s="70"/>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row>
    <row r="7" spans="1:247" x14ac:dyDescent="0.35">
      <c r="A7" s="65" t="str">
        <f t="shared" si="0"/>
        <v/>
      </c>
      <c r="B7" s="68" t="str">
        <f>Stoff!A7</f>
        <v>Kvikksølv</v>
      </c>
      <c r="C7" s="67">
        <f t="shared" si="1"/>
        <v>0</v>
      </c>
      <c r="D7" s="55">
        <f t="shared" si="2"/>
        <v>0</v>
      </c>
      <c r="E7" s="55" t="e">
        <f t="shared" si="3"/>
        <v>#DIV/0!</v>
      </c>
      <c r="F7" s="66" t="e">
        <f t="shared" si="4"/>
        <v>#NUM!</v>
      </c>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70"/>
      <c r="EE7" s="70"/>
      <c r="EF7" s="70"/>
      <c r="EG7" s="70"/>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row>
    <row r="8" spans="1:247" x14ac:dyDescent="0.35">
      <c r="A8" s="65" t="str">
        <f t="shared" si="0"/>
        <v/>
      </c>
      <c r="B8" s="68" t="str">
        <f>Stoff!A8</f>
        <v>Kobber</v>
      </c>
      <c r="C8" s="67">
        <f t="shared" si="1"/>
        <v>0</v>
      </c>
      <c r="D8" s="55">
        <f t="shared" si="2"/>
        <v>0</v>
      </c>
      <c r="E8" s="55" t="e">
        <f t="shared" si="3"/>
        <v>#DIV/0!</v>
      </c>
      <c r="F8" s="66" t="e">
        <f t="shared" si="4"/>
        <v>#NUM!</v>
      </c>
      <c r="G8" s="56"/>
      <c r="H8" s="56"/>
      <c r="I8" s="56"/>
      <c r="J8" s="56"/>
      <c r="K8" s="56"/>
      <c r="L8" s="72"/>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70"/>
      <c r="EE8" s="70"/>
      <c r="EF8" s="70"/>
      <c r="EG8" s="70"/>
      <c r="EH8" s="69"/>
      <c r="EI8" s="69"/>
      <c r="EJ8" s="69"/>
      <c r="EK8" s="69"/>
      <c r="EL8" s="69"/>
      <c r="EM8" s="69"/>
      <c r="EN8" s="69"/>
      <c r="EO8" s="69"/>
      <c r="EP8" s="69"/>
      <c r="EQ8" s="69"/>
      <c r="ER8" s="69"/>
      <c r="ES8" s="69"/>
      <c r="ET8" s="69"/>
      <c r="EU8" s="69"/>
      <c r="EV8" s="69"/>
      <c r="EW8" s="69"/>
      <c r="EX8" s="69"/>
      <c r="EY8" s="69"/>
      <c r="EZ8" s="69"/>
      <c r="FA8" s="69"/>
      <c r="FB8" s="69"/>
      <c r="FC8" s="69"/>
      <c r="FD8" s="69"/>
      <c r="FE8" s="69"/>
      <c r="FF8" s="69"/>
      <c r="FG8" s="69"/>
      <c r="FH8" s="69"/>
      <c r="FI8" s="69"/>
      <c r="FJ8" s="69"/>
      <c r="FK8" s="69"/>
      <c r="FL8" s="69"/>
      <c r="FM8" s="69"/>
      <c r="FN8" s="69"/>
      <c r="FO8" s="69"/>
      <c r="FP8" s="69"/>
      <c r="FQ8" s="69"/>
      <c r="FR8" s="69"/>
      <c r="FS8" s="69"/>
      <c r="FT8" s="69"/>
      <c r="FU8" s="69"/>
      <c r="FV8" s="69"/>
      <c r="FW8" s="69"/>
      <c r="FX8" s="69"/>
      <c r="FY8" s="69"/>
      <c r="FZ8" s="69"/>
      <c r="GA8" s="69"/>
      <c r="GB8" s="69"/>
      <c r="GC8" s="69"/>
      <c r="GD8" s="69"/>
      <c r="GE8" s="69"/>
      <c r="GF8" s="69"/>
      <c r="GG8" s="69"/>
      <c r="GH8" s="69"/>
      <c r="GI8" s="69"/>
      <c r="GJ8" s="69"/>
      <c r="GK8" s="69"/>
      <c r="GL8" s="69"/>
      <c r="GM8" s="69"/>
      <c r="GN8" s="69"/>
      <c r="GO8" s="69"/>
      <c r="GP8" s="69"/>
      <c r="GQ8" s="69"/>
      <c r="GR8" s="69"/>
      <c r="GS8" s="69"/>
      <c r="GT8" s="69"/>
      <c r="GU8" s="69"/>
      <c r="GV8" s="69"/>
      <c r="GW8" s="69"/>
      <c r="GX8" s="69"/>
      <c r="GY8" s="69"/>
      <c r="GZ8" s="69"/>
      <c r="HA8" s="69"/>
      <c r="HB8" s="69"/>
      <c r="HC8" s="69"/>
      <c r="HD8" s="69"/>
      <c r="HE8" s="69"/>
      <c r="HF8" s="69"/>
      <c r="HG8" s="69"/>
      <c r="HH8" s="69"/>
      <c r="HI8" s="69"/>
      <c r="HJ8" s="69"/>
      <c r="HK8" s="69"/>
      <c r="HL8" s="69"/>
      <c r="HM8" s="69"/>
      <c r="HN8" s="69"/>
      <c r="HO8" s="69"/>
      <c r="HP8" s="69"/>
      <c r="HQ8" s="69"/>
      <c r="HR8" s="69"/>
      <c r="HS8" s="69"/>
      <c r="HT8" s="69"/>
      <c r="HU8" s="69"/>
      <c r="HV8" s="69"/>
      <c r="HW8" s="69"/>
      <c r="HX8" s="69"/>
      <c r="HY8" s="69"/>
      <c r="HZ8" s="69"/>
      <c r="IA8" s="69"/>
      <c r="IB8" s="69"/>
      <c r="IC8" s="69"/>
      <c r="ID8" s="69"/>
      <c r="IE8" s="69"/>
      <c r="IF8" s="69"/>
      <c r="IG8" s="69"/>
      <c r="IH8" s="69"/>
      <c r="II8" s="69"/>
      <c r="IJ8" s="69"/>
      <c r="IK8" s="69"/>
      <c r="IL8" s="69"/>
      <c r="IM8" s="69"/>
    </row>
    <row r="9" spans="1:247" x14ac:dyDescent="0.35">
      <c r="A9" s="65" t="str">
        <f t="shared" si="0"/>
        <v/>
      </c>
      <c r="B9" s="68" t="str">
        <f>Stoff!A9</f>
        <v>Sink</v>
      </c>
      <c r="C9" s="67">
        <f t="shared" si="1"/>
        <v>0</v>
      </c>
      <c r="D9" s="55">
        <f t="shared" si="2"/>
        <v>0</v>
      </c>
      <c r="E9" s="55" t="e">
        <f t="shared" si="3"/>
        <v>#DIV/0!</v>
      </c>
      <c r="F9" s="66" t="e">
        <f t="shared" si="4"/>
        <v>#NUM!</v>
      </c>
      <c r="G9" s="56"/>
      <c r="H9" s="56"/>
      <c r="I9" s="56"/>
      <c r="J9" s="56"/>
      <c r="K9" s="56"/>
      <c r="L9" s="72"/>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70"/>
      <c r="EE9" s="70"/>
      <c r="EF9" s="70"/>
      <c r="EG9" s="70"/>
      <c r="EH9" s="69"/>
      <c r="EI9" s="69"/>
      <c r="EJ9" s="69"/>
      <c r="EK9" s="69"/>
      <c r="EL9" s="69"/>
      <c r="EM9" s="69"/>
      <c r="EN9" s="69"/>
      <c r="EO9" s="69"/>
      <c r="EP9" s="69"/>
      <c r="EQ9" s="69"/>
      <c r="ER9" s="69"/>
      <c r="ES9" s="69"/>
      <c r="ET9" s="69"/>
      <c r="EU9" s="69"/>
      <c r="EV9" s="69"/>
      <c r="EW9" s="69"/>
      <c r="EX9" s="69"/>
      <c r="EY9" s="69"/>
      <c r="EZ9" s="69"/>
      <c r="FA9" s="69"/>
      <c r="FB9" s="69"/>
      <c r="FC9" s="69"/>
      <c r="FD9" s="69"/>
      <c r="FE9" s="69"/>
      <c r="FF9" s="69"/>
      <c r="FG9" s="69"/>
      <c r="FH9" s="69"/>
      <c r="FI9" s="69"/>
      <c r="FJ9" s="69"/>
      <c r="FK9" s="69"/>
      <c r="FL9" s="69"/>
      <c r="FM9" s="69"/>
      <c r="FN9" s="69"/>
      <c r="FO9" s="69"/>
      <c r="FP9" s="69"/>
      <c r="FQ9" s="69"/>
      <c r="FR9" s="69"/>
      <c r="FS9" s="69"/>
      <c r="FT9" s="69"/>
      <c r="FU9" s="69"/>
      <c r="FV9" s="69"/>
      <c r="FW9" s="69"/>
      <c r="FX9" s="69"/>
      <c r="FY9" s="69"/>
      <c r="FZ9" s="69"/>
      <c r="GA9" s="69"/>
      <c r="GB9" s="69"/>
      <c r="GC9" s="69"/>
      <c r="GD9" s="69"/>
      <c r="GE9" s="69"/>
      <c r="GF9" s="69"/>
      <c r="GG9" s="69"/>
      <c r="GH9" s="69"/>
      <c r="GI9" s="69"/>
      <c r="GJ9" s="69"/>
      <c r="GK9" s="69"/>
      <c r="GL9" s="69"/>
      <c r="GM9" s="69"/>
      <c r="GN9" s="69"/>
      <c r="GO9" s="69"/>
      <c r="GP9" s="69"/>
      <c r="GQ9" s="69"/>
      <c r="GR9" s="69"/>
      <c r="GS9" s="69"/>
      <c r="GT9" s="69"/>
      <c r="GU9" s="69"/>
      <c r="GV9" s="69"/>
      <c r="GW9" s="69"/>
      <c r="GX9" s="69"/>
      <c r="GY9" s="69"/>
      <c r="GZ9" s="69"/>
      <c r="HA9" s="69"/>
      <c r="HB9" s="69"/>
      <c r="HC9" s="69"/>
      <c r="HD9" s="69"/>
      <c r="HE9" s="69"/>
      <c r="HF9" s="69"/>
      <c r="HG9" s="69"/>
      <c r="HH9" s="69"/>
      <c r="HI9" s="69"/>
      <c r="HJ9" s="69"/>
      <c r="HK9" s="69"/>
      <c r="HL9" s="69"/>
      <c r="HM9" s="69"/>
      <c r="HN9" s="69"/>
      <c r="HO9" s="69"/>
      <c r="HP9" s="69"/>
      <c r="HQ9" s="69"/>
      <c r="HR9" s="69"/>
      <c r="HS9" s="69"/>
      <c r="HT9" s="69"/>
      <c r="HU9" s="69"/>
      <c r="HV9" s="69"/>
      <c r="HW9" s="69"/>
      <c r="HX9" s="69"/>
      <c r="HY9" s="69"/>
      <c r="HZ9" s="69"/>
      <c r="IA9" s="69"/>
      <c r="IB9" s="69"/>
      <c r="IC9" s="69"/>
      <c r="ID9" s="69"/>
      <c r="IE9" s="69"/>
      <c r="IF9" s="69"/>
      <c r="IG9" s="69"/>
      <c r="IH9" s="69"/>
      <c r="II9" s="69"/>
      <c r="IJ9" s="69"/>
      <c r="IK9" s="69"/>
      <c r="IL9" s="69"/>
      <c r="IM9" s="69"/>
    </row>
    <row r="10" spans="1:247" x14ac:dyDescent="0.35">
      <c r="A10" s="65" t="str">
        <f t="shared" si="0"/>
        <v/>
      </c>
      <c r="B10" s="68" t="str">
        <f>Stoff!A10</f>
        <v>Krom (III)</v>
      </c>
      <c r="C10" s="67">
        <f t="shared" si="1"/>
        <v>0</v>
      </c>
      <c r="D10" s="55">
        <f t="shared" si="2"/>
        <v>0</v>
      </c>
      <c r="E10" s="55" t="e">
        <f t="shared" si="3"/>
        <v>#DIV/0!</v>
      </c>
      <c r="F10" s="66" t="e">
        <f t="shared" si="4"/>
        <v>#NUM!</v>
      </c>
      <c r="G10" s="56"/>
      <c r="H10" s="56"/>
      <c r="I10" s="56"/>
      <c r="J10" s="56"/>
      <c r="K10" s="56"/>
      <c r="L10" s="72"/>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70"/>
      <c r="EE10" s="70"/>
      <c r="EF10" s="70"/>
      <c r="EG10" s="70"/>
      <c r="EH10" s="69"/>
      <c r="EI10" s="69"/>
      <c r="EJ10" s="69"/>
      <c r="EK10" s="69"/>
      <c r="EL10" s="69"/>
      <c r="EM10" s="69"/>
      <c r="EN10" s="69"/>
      <c r="EO10" s="69"/>
      <c r="EP10" s="69"/>
      <c r="EQ10" s="69"/>
      <c r="ER10" s="69"/>
      <c r="ES10" s="69"/>
      <c r="ET10" s="69"/>
      <c r="EU10" s="69"/>
      <c r="EV10" s="69"/>
      <c r="EW10" s="69"/>
      <c r="EX10" s="69"/>
      <c r="EY10" s="69"/>
      <c r="EZ10" s="69"/>
      <c r="FA10" s="69"/>
      <c r="FB10" s="69"/>
      <c r="FC10" s="69"/>
      <c r="FD10" s="69"/>
      <c r="FE10" s="69"/>
      <c r="FF10" s="69"/>
      <c r="FG10" s="69"/>
      <c r="FH10" s="69"/>
      <c r="FI10" s="69"/>
      <c r="FJ10" s="69"/>
      <c r="FK10" s="69"/>
      <c r="FL10" s="69"/>
      <c r="FM10" s="69"/>
      <c r="FN10" s="69"/>
      <c r="FO10" s="69"/>
      <c r="FP10" s="69"/>
      <c r="FQ10" s="69"/>
      <c r="FR10" s="69"/>
      <c r="FS10" s="69"/>
      <c r="FT10" s="69"/>
      <c r="FU10" s="69"/>
      <c r="FV10" s="69"/>
      <c r="FW10" s="69"/>
      <c r="FX10" s="69"/>
      <c r="FY10" s="69"/>
      <c r="FZ10" s="69"/>
      <c r="GA10" s="69"/>
      <c r="GB10" s="69"/>
      <c r="GC10" s="69"/>
      <c r="GD10" s="69"/>
      <c r="GE10" s="69"/>
      <c r="GF10" s="69"/>
      <c r="GG10" s="69"/>
      <c r="GH10" s="69"/>
      <c r="GI10" s="69"/>
      <c r="GJ10" s="69"/>
      <c r="GK10" s="69"/>
      <c r="GL10" s="69"/>
      <c r="GM10" s="69"/>
      <c r="GN10" s="69"/>
      <c r="GO10" s="69"/>
      <c r="GP10" s="69"/>
      <c r="GQ10" s="69"/>
      <c r="GR10" s="69"/>
      <c r="GS10" s="69"/>
      <c r="GT10" s="69"/>
      <c r="GU10" s="69"/>
      <c r="GV10" s="69"/>
      <c r="GW10" s="69"/>
      <c r="GX10" s="69"/>
      <c r="GY10" s="69"/>
      <c r="GZ10" s="69"/>
      <c r="HA10" s="69"/>
      <c r="HB10" s="69"/>
      <c r="HC10" s="69"/>
      <c r="HD10" s="69"/>
      <c r="HE10" s="69"/>
      <c r="HF10" s="69"/>
      <c r="HG10" s="69"/>
      <c r="HH10" s="69"/>
      <c r="HI10" s="69"/>
      <c r="HJ10" s="69"/>
      <c r="HK10" s="69"/>
      <c r="HL10" s="69"/>
      <c r="HM10" s="69"/>
      <c r="HN10" s="69"/>
      <c r="HO10" s="69"/>
      <c r="HP10" s="69"/>
      <c r="HQ10" s="69"/>
      <c r="HR10" s="69"/>
      <c r="HS10" s="69"/>
      <c r="HT10" s="69"/>
      <c r="HU10" s="69"/>
      <c r="HV10" s="69"/>
      <c r="HW10" s="69"/>
      <c r="HX10" s="69"/>
      <c r="HY10" s="69"/>
      <c r="HZ10" s="69"/>
      <c r="IA10" s="69"/>
      <c r="IB10" s="69"/>
      <c r="IC10" s="69"/>
      <c r="ID10" s="69"/>
      <c r="IE10" s="69"/>
      <c r="IF10" s="69"/>
      <c r="IG10" s="69"/>
      <c r="IH10" s="69"/>
      <c r="II10" s="69"/>
      <c r="IJ10" s="69"/>
      <c r="IK10" s="69"/>
      <c r="IL10" s="69"/>
      <c r="IM10" s="69"/>
    </row>
    <row r="11" spans="1:247" x14ac:dyDescent="0.35">
      <c r="A11" s="65" t="str">
        <f t="shared" si="0"/>
        <v/>
      </c>
      <c r="B11" s="68" t="str">
        <f>Stoff!A11</f>
        <v>Krom (VI)</v>
      </c>
      <c r="C11" s="67">
        <f t="shared" si="1"/>
        <v>0</v>
      </c>
      <c r="D11" s="55">
        <f t="shared" si="2"/>
        <v>0</v>
      </c>
      <c r="E11" s="55" t="e">
        <f t="shared" si="3"/>
        <v>#DIV/0!</v>
      </c>
      <c r="F11" s="66" t="e">
        <f t="shared" si="4"/>
        <v>#NUM!</v>
      </c>
      <c r="G11" s="56"/>
      <c r="H11" s="56"/>
      <c r="I11" s="56"/>
      <c r="J11" s="56"/>
      <c r="K11" s="56"/>
      <c r="L11" s="72"/>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70"/>
      <c r="EE11" s="70"/>
      <c r="EF11" s="70"/>
      <c r="EG11" s="70"/>
      <c r="EH11" s="69"/>
      <c r="EI11" s="69"/>
      <c r="EJ11" s="69"/>
      <c r="EK11" s="69"/>
      <c r="EL11" s="69"/>
      <c r="EM11" s="69"/>
      <c r="EN11" s="69"/>
      <c r="EO11" s="69"/>
      <c r="EP11" s="69"/>
      <c r="EQ11" s="69"/>
      <c r="ER11" s="69"/>
      <c r="ES11" s="69"/>
      <c r="ET11" s="69"/>
      <c r="EU11" s="69"/>
      <c r="EV11" s="69"/>
      <c r="EW11" s="69"/>
      <c r="EX11" s="69"/>
      <c r="EY11" s="69"/>
      <c r="EZ11" s="69"/>
      <c r="FA11" s="69"/>
      <c r="FB11" s="69"/>
      <c r="FC11" s="69"/>
      <c r="FD11" s="69"/>
      <c r="FE11" s="69"/>
      <c r="FF11" s="69"/>
      <c r="FG11" s="69"/>
      <c r="FH11" s="69"/>
      <c r="FI11" s="69"/>
      <c r="FJ11" s="69"/>
      <c r="FK11" s="69"/>
      <c r="FL11" s="69"/>
      <c r="FM11" s="69"/>
      <c r="FN11" s="69"/>
      <c r="FO11" s="69"/>
      <c r="FP11" s="69"/>
      <c r="FQ11" s="69"/>
      <c r="FR11" s="69"/>
      <c r="FS11" s="69"/>
      <c r="FT11" s="69"/>
      <c r="FU11" s="69"/>
      <c r="FV11" s="69"/>
      <c r="FW11" s="69"/>
      <c r="FX11" s="69"/>
      <c r="FY11" s="69"/>
      <c r="FZ11" s="69"/>
      <c r="GA11" s="69"/>
      <c r="GB11" s="69"/>
      <c r="GC11" s="69"/>
      <c r="GD11" s="69"/>
      <c r="GE11" s="69"/>
      <c r="GF11" s="69"/>
      <c r="GG11" s="69"/>
      <c r="GH11" s="69"/>
      <c r="GI11" s="69"/>
      <c r="GJ11" s="69"/>
      <c r="GK11" s="69"/>
      <c r="GL11" s="69"/>
      <c r="GM11" s="69"/>
      <c r="GN11" s="69"/>
      <c r="GO11" s="69"/>
      <c r="GP11" s="69"/>
      <c r="GQ11" s="69"/>
      <c r="GR11" s="69"/>
      <c r="GS11" s="69"/>
      <c r="GT11" s="69"/>
      <c r="GU11" s="69"/>
      <c r="GV11" s="69"/>
      <c r="GW11" s="69"/>
      <c r="GX11" s="69"/>
      <c r="GY11" s="69"/>
      <c r="GZ11" s="69"/>
      <c r="HA11" s="69"/>
      <c r="HB11" s="69"/>
      <c r="HC11" s="69"/>
      <c r="HD11" s="69"/>
      <c r="HE11" s="69"/>
      <c r="HF11" s="69"/>
      <c r="HG11" s="69"/>
      <c r="HH11" s="69"/>
      <c r="HI11" s="69"/>
      <c r="HJ11" s="69"/>
      <c r="HK11" s="69"/>
      <c r="HL11" s="69"/>
      <c r="HM11" s="69"/>
      <c r="HN11" s="69"/>
      <c r="HO11" s="69"/>
      <c r="HP11" s="69"/>
      <c r="HQ11" s="69"/>
      <c r="HR11" s="69"/>
      <c r="HS11" s="69"/>
      <c r="HT11" s="69"/>
      <c r="HU11" s="69"/>
      <c r="HV11" s="69"/>
      <c r="HW11" s="69"/>
      <c r="HX11" s="69"/>
      <c r="HY11" s="69"/>
      <c r="HZ11" s="69"/>
      <c r="IA11" s="69"/>
      <c r="IB11" s="69"/>
      <c r="IC11" s="69"/>
      <c r="ID11" s="69"/>
      <c r="IE11" s="69"/>
      <c r="IF11" s="69"/>
      <c r="IG11" s="69"/>
      <c r="IH11" s="69"/>
      <c r="II11" s="69"/>
      <c r="IJ11" s="69"/>
      <c r="IK11" s="69"/>
      <c r="IL11" s="69"/>
      <c r="IM11" s="69"/>
    </row>
    <row r="12" spans="1:247" x14ac:dyDescent="0.35">
      <c r="A12" s="65" t="str">
        <f t="shared" si="0"/>
        <v/>
      </c>
      <c r="B12" s="68" t="str">
        <f>Stoff!A12</f>
        <v>Krom totalt (III + VI)</v>
      </c>
      <c r="C12" s="67">
        <f t="shared" si="1"/>
        <v>0</v>
      </c>
      <c r="D12" s="55">
        <f t="shared" si="2"/>
        <v>0</v>
      </c>
      <c r="E12" s="55" t="e">
        <f t="shared" si="3"/>
        <v>#DIV/0!</v>
      </c>
      <c r="F12" s="66" t="e">
        <f t="shared" si="4"/>
        <v>#NUM!</v>
      </c>
      <c r="G12" s="56"/>
      <c r="H12" s="56"/>
      <c r="I12" s="56"/>
      <c r="J12" s="56"/>
      <c r="K12" s="56"/>
      <c r="L12" s="56"/>
      <c r="M12" s="56"/>
      <c r="N12" s="56"/>
      <c r="O12" s="56"/>
      <c r="P12" s="56"/>
      <c r="Q12" s="56"/>
      <c r="R12" s="56"/>
      <c r="S12" s="56"/>
      <c r="T12" s="56"/>
      <c r="U12" s="56"/>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70"/>
      <c r="EE12" s="70"/>
      <c r="EF12" s="70"/>
      <c r="EG12" s="70"/>
      <c r="EH12" s="69"/>
      <c r="EI12" s="69"/>
      <c r="EJ12" s="69"/>
      <c r="EK12" s="69"/>
      <c r="EL12" s="69"/>
      <c r="EM12" s="69"/>
      <c r="EN12" s="69"/>
      <c r="EO12" s="69"/>
      <c r="EP12" s="69"/>
      <c r="EQ12" s="69"/>
      <c r="ER12" s="69"/>
      <c r="ES12" s="69"/>
      <c r="ET12" s="69"/>
      <c r="EU12" s="69"/>
      <c r="EV12" s="69"/>
      <c r="EW12" s="69"/>
      <c r="EX12" s="69"/>
      <c r="EY12" s="69"/>
      <c r="EZ12" s="69"/>
      <c r="FA12" s="69"/>
      <c r="FB12" s="69"/>
      <c r="FC12" s="69"/>
      <c r="FD12" s="69"/>
      <c r="FE12" s="69"/>
      <c r="FF12" s="69"/>
      <c r="FG12" s="69"/>
      <c r="FH12" s="69"/>
      <c r="FI12" s="69"/>
      <c r="FJ12" s="69"/>
      <c r="FK12" s="69"/>
      <c r="FL12" s="69"/>
      <c r="FM12" s="69"/>
      <c r="FN12" s="69"/>
      <c r="FO12" s="69"/>
      <c r="FP12" s="69"/>
      <c r="FQ12" s="69"/>
      <c r="FR12" s="69"/>
      <c r="FS12" s="69"/>
      <c r="FT12" s="69"/>
      <c r="FU12" s="69"/>
      <c r="FV12" s="69"/>
      <c r="FW12" s="69"/>
      <c r="FX12" s="69"/>
      <c r="FY12" s="69"/>
      <c r="FZ12" s="69"/>
      <c r="GA12" s="69"/>
      <c r="GB12" s="69"/>
      <c r="GC12" s="69"/>
      <c r="GD12" s="69"/>
      <c r="GE12" s="69"/>
      <c r="GF12" s="69"/>
      <c r="GG12" s="69"/>
      <c r="GH12" s="69"/>
      <c r="GI12" s="69"/>
      <c r="GJ12" s="69"/>
      <c r="GK12" s="69"/>
      <c r="GL12" s="69"/>
      <c r="GM12" s="69"/>
      <c r="GN12" s="69"/>
      <c r="GO12" s="69"/>
      <c r="GP12" s="69"/>
      <c r="GQ12" s="69"/>
      <c r="GR12" s="69"/>
      <c r="GS12" s="69"/>
      <c r="GT12" s="69"/>
      <c r="GU12" s="69"/>
      <c r="GV12" s="69"/>
      <c r="GW12" s="69"/>
      <c r="GX12" s="69"/>
      <c r="GY12" s="69"/>
      <c r="GZ12" s="69"/>
      <c r="HA12" s="69"/>
      <c r="HB12" s="69"/>
      <c r="HC12" s="69"/>
      <c r="HD12" s="69"/>
      <c r="HE12" s="69"/>
      <c r="HF12" s="69"/>
      <c r="HG12" s="69"/>
      <c r="HH12" s="69"/>
      <c r="HI12" s="69"/>
      <c r="HJ12" s="69"/>
      <c r="HK12" s="69"/>
      <c r="HL12" s="69"/>
      <c r="HM12" s="69"/>
      <c r="HN12" s="69"/>
      <c r="HO12" s="69"/>
      <c r="HP12" s="69"/>
      <c r="HQ12" s="69"/>
      <c r="HR12" s="69"/>
      <c r="HS12" s="69"/>
      <c r="HT12" s="69"/>
      <c r="HU12" s="69"/>
      <c r="HV12" s="69"/>
      <c r="HW12" s="69"/>
      <c r="HX12" s="69"/>
      <c r="HY12" s="69"/>
      <c r="HZ12" s="69"/>
      <c r="IA12" s="69"/>
      <c r="IB12" s="69"/>
      <c r="IC12" s="69"/>
      <c r="ID12" s="69"/>
      <c r="IE12" s="69"/>
      <c r="IF12" s="69"/>
      <c r="IG12" s="69"/>
      <c r="IH12" s="69"/>
      <c r="II12" s="69"/>
      <c r="IJ12" s="69"/>
      <c r="IK12" s="69"/>
      <c r="IL12" s="69"/>
      <c r="IM12" s="69"/>
    </row>
    <row r="13" spans="1:247" x14ac:dyDescent="0.35">
      <c r="A13" s="65" t="str">
        <f t="shared" si="0"/>
        <v/>
      </c>
      <c r="B13" s="68" t="str">
        <f>Stoff!A13</f>
        <v>Nikkel</v>
      </c>
      <c r="C13" s="67">
        <f t="shared" si="1"/>
        <v>0</v>
      </c>
      <c r="D13" s="55">
        <f t="shared" si="2"/>
        <v>0</v>
      </c>
      <c r="E13" s="55" t="e">
        <f t="shared" si="3"/>
        <v>#DIV/0!</v>
      </c>
      <c r="F13" s="66" t="e">
        <f t="shared" si="4"/>
        <v>#NUM!</v>
      </c>
      <c r="G13" s="56"/>
      <c r="H13" s="56"/>
      <c r="I13" s="56"/>
      <c r="J13" s="56"/>
      <c r="K13" s="56"/>
      <c r="L13" s="56"/>
      <c r="M13" s="56"/>
      <c r="N13" s="56"/>
      <c r="O13" s="56"/>
      <c r="P13" s="56"/>
      <c r="Q13" s="56"/>
      <c r="R13" s="56"/>
      <c r="S13" s="56"/>
      <c r="T13" s="56"/>
      <c r="U13" s="56"/>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70"/>
      <c r="EE13" s="70"/>
      <c r="EF13" s="70"/>
      <c r="EG13" s="70"/>
      <c r="EH13" s="69"/>
      <c r="EI13" s="69"/>
      <c r="EJ13" s="69"/>
      <c r="EK13" s="69"/>
      <c r="EL13" s="69"/>
      <c r="EM13" s="69"/>
      <c r="EN13" s="69"/>
      <c r="EO13" s="69"/>
      <c r="EP13" s="69"/>
      <c r="EQ13" s="69"/>
      <c r="ER13" s="69"/>
      <c r="ES13" s="69"/>
      <c r="ET13" s="69"/>
      <c r="EU13" s="69"/>
      <c r="EV13" s="69"/>
      <c r="EW13" s="69"/>
      <c r="EX13" s="69"/>
      <c r="EY13" s="69"/>
      <c r="EZ13" s="69"/>
      <c r="FA13" s="69"/>
      <c r="FB13" s="69"/>
      <c r="FC13" s="69"/>
      <c r="FD13" s="69"/>
      <c r="FE13" s="69"/>
      <c r="FF13" s="69"/>
      <c r="FG13" s="69"/>
      <c r="FH13" s="69"/>
      <c r="FI13" s="69"/>
      <c r="FJ13" s="69"/>
      <c r="FK13" s="69"/>
      <c r="FL13" s="69"/>
      <c r="FM13" s="69"/>
      <c r="FN13" s="69"/>
      <c r="FO13" s="69"/>
      <c r="FP13" s="69"/>
      <c r="FQ13" s="69"/>
      <c r="FR13" s="69"/>
      <c r="FS13" s="69"/>
      <c r="FT13" s="69"/>
      <c r="FU13" s="69"/>
      <c r="FV13" s="69"/>
      <c r="FW13" s="69"/>
      <c r="FX13" s="69"/>
      <c r="FY13" s="69"/>
      <c r="FZ13" s="69"/>
      <c r="GA13" s="69"/>
      <c r="GB13" s="69"/>
      <c r="GC13" s="69"/>
      <c r="GD13" s="69"/>
      <c r="GE13" s="69"/>
      <c r="GF13" s="69"/>
      <c r="GG13" s="69"/>
      <c r="GH13" s="69"/>
      <c r="GI13" s="69"/>
      <c r="GJ13" s="69"/>
      <c r="GK13" s="69"/>
      <c r="GL13" s="69"/>
      <c r="GM13" s="69"/>
      <c r="GN13" s="69"/>
      <c r="GO13" s="69"/>
      <c r="GP13" s="69"/>
      <c r="GQ13" s="69"/>
      <c r="GR13" s="69"/>
      <c r="GS13" s="69"/>
      <c r="GT13" s="69"/>
      <c r="GU13" s="69"/>
      <c r="GV13" s="69"/>
      <c r="GW13" s="69"/>
      <c r="GX13" s="69"/>
      <c r="GY13" s="69"/>
      <c r="GZ13" s="69"/>
      <c r="HA13" s="69"/>
      <c r="HB13" s="69"/>
      <c r="HC13" s="69"/>
      <c r="HD13" s="69"/>
      <c r="HE13" s="69"/>
      <c r="HF13" s="69"/>
      <c r="HG13" s="69"/>
      <c r="HH13" s="69"/>
      <c r="HI13" s="69"/>
      <c r="HJ13" s="69"/>
      <c r="HK13" s="69"/>
      <c r="HL13" s="69"/>
      <c r="HM13" s="69"/>
      <c r="HN13" s="69"/>
      <c r="HO13" s="69"/>
      <c r="HP13" s="69"/>
      <c r="HQ13" s="69"/>
      <c r="HR13" s="69"/>
      <c r="HS13" s="69"/>
      <c r="HT13" s="69"/>
      <c r="HU13" s="69"/>
      <c r="HV13" s="69"/>
      <c r="HW13" s="69"/>
      <c r="HX13" s="69"/>
      <c r="HY13" s="69"/>
      <c r="HZ13" s="69"/>
      <c r="IA13" s="69"/>
      <c r="IB13" s="69"/>
      <c r="IC13" s="69"/>
      <c r="ID13" s="69"/>
      <c r="IE13" s="69"/>
      <c r="IF13" s="69"/>
      <c r="IG13" s="69"/>
      <c r="IH13" s="69"/>
      <c r="II13" s="69"/>
      <c r="IJ13" s="69"/>
      <c r="IK13" s="69"/>
      <c r="IL13" s="69"/>
      <c r="IM13" s="69"/>
    </row>
    <row r="14" spans="1:247" x14ac:dyDescent="0.35">
      <c r="A14" s="65" t="str">
        <f t="shared" si="0"/>
        <v/>
      </c>
      <c r="B14" s="68" t="str">
        <f>Stoff!A14</f>
        <v>Cyanid fri</v>
      </c>
      <c r="C14" s="67">
        <f t="shared" si="1"/>
        <v>0</v>
      </c>
      <c r="D14" s="55">
        <f t="shared" si="2"/>
        <v>0</v>
      </c>
      <c r="E14" s="55" t="e">
        <f t="shared" si="3"/>
        <v>#DIV/0!</v>
      </c>
      <c r="F14" s="66" t="e">
        <f t="shared" si="4"/>
        <v>#NUM!</v>
      </c>
      <c r="G14" s="56"/>
      <c r="H14" s="56"/>
      <c r="I14" s="56"/>
      <c r="J14" s="56"/>
      <c r="K14" s="56"/>
      <c r="L14" s="56"/>
      <c r="M14" s="56"/>
      <c r="N14" s="56"/>
      <c r="O14" s="56"/>
      <c r="P14" s="56"/>
      <c r="Q14" s="56"/>
      <c r="R14" s="56"/>
      <c r="S14" s="56"/>
      <c r="T14" s="56"/>
      <c r="U14" s="56"/>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70"/>
      <c r="EE14" s="70"/>
      <c r="EF14" s="70"/>
      <c r="EG14" s="70"/>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69"/>
      <c r="FG14" s="69"/>
      <c r="FH14" s="69"/>
      <c r="FI14" s="69"/>
      <c r="FJ14" s="69"/>
      <c r="FK14" s="69"/>
      <c r="FL14" s="69"/>
      <c r="FM14" s="69"/>
      <c r="FN14" s="69"/>
      <c r="FO14" s="69"/>
      <c r="FP14" s="69"/>
      <c r="FQ14" s="69"/>
      <c r="FR14" s="69"/>
      <c r="FS14" s="69"/>
      <c r="FT14" s="69"/>
      <c r="FU14" s="69"/>
      <c r="FV14" s="69"/>
      <c r="FW14" s="69"/>
      <c r="FX14" s="69"/>
      <c r="FY14" s="69"/>
      <c r="FZ14" s="69"/>
      <c r="GA14" s="69"/>
      <c r="GB14" s="69"/>
      <c r="GC14" s="69"/>
      <c r="GD14" s="69"/>
      <c r="GE14" s="69"/>
      <c r="GF14" s="69"/>
      <c r="GG14" s="69"/>
      <c r="GH14" s="69"/>
      <c r="GI14" s="69"/>
      <c r="GJ14" s="69"/>
      <c r="GK14" s="69"/>
      <c r="GL14" s="69"/>
      <c r="GM14" s="69"/>
      <c r="GN14" s="69"/>
      <c r="GO14" s="69"/>
      <c r="GP14" s="69"/>
      <c r="GQ14" s="69"/>
      <c r="GR14" s="69"/>
      <c r="GS14" s="69"/>
      <c r="GT14" s="69"/>
      <c r="GU14" s="69"/>
      <c r="GV14" s="69"/>
      <c r="GW14" s="69"/>
      <c r="GX14" s="69"/>
      <c r="GY14" s="69"/>
      <c r="GZ14" s="69"/>
      <c r="HA14" s="69"/>
      <c r="HB14" s="69"/>
      <c r="HC14" s="69"/>
      <c r="HD14" s="69"/>
      <c r="HE14" s="69"/>
      <c r="HF14" s="69"/>
      <c r="HG14" s="69"/>
      <c r="HH14" s="69"/>
      <c r="HI14" s="69"/>
      <c r="HJ14" s="69"/>
      <c r="HK14" s="69"/>
      <c r="HL14" s="69"/>
      <c r="HM14" s="69"/>
      <c r="HN14" s="69"/>
      <c r="HO14" s="69"/>
      <c r="HP14" s="69"/>
      <c r="HQ14" s="69"/>
      <c r="HR14" s="69"/>
      <c r="HS14" s="69"/>
      <c r="HT14" s="69"/>
      <c r="HU14" s="69"/>
      <c r="HV14" s="69"/>
      <c r="HW14" s="69"/>
      <c r="HX14" s="69"/>
      <c r="HY14" s="69"/>
      <c r="HZ14" s="69"/>
      <c r="IA14" s="69"/>
      <c r="IB14" s="69"/>
      <c r="IC14" s="69"/>
      <c r="ID14" s="69"/>
      <c r="IE14" s="69"/>
      <c r="IF14" s="69"/>
      <c r="IG14" s="69"/>
      <c r="IH14" s="69"/>
      <c r="II14" s="69"/>
      <c r="IJ14" s="69"/>
      <c r="IK14" s="69"/>
      <c r="IL14" s="69"/>
      <c r="IM14" s="69"/>
    </row>
    <row r="15" spans="1:247" x14ac:dyDescent="0.35">
      <c r="A15" s="65" t="str">
        <f t="shared" si="0"/>
        <v/>
      </c>
      <c r="B15" s="68" t="str">
        <f>Stoff!A15</f>
        <v>PCB CAS1336-36-3</v>
      </c>
      <c r="C15" s="67">
        <f t="shared" si="1"/>
        <v>0</v>
      </c>
      <c r="D15" s="55">
        <f t="shared" si="2"/>
        <v>0</v>
      </c>
      <c r="E15" s="55" t="e">
        <f t="shared" si="3"/>
        <v>#DIV/0!</v>
      </c>
      <c r="F15" s="66" t="e">
        <f t="shared" si="4"/>
        <v>#NUM!</v>
      </c>
      <c r="G15" s="56"/>
      <c r="H15" s="56"/>
      <c r="I15" s="56"/>
      <c r="J15" s="56"/>
      <c r="K15" s="56"/>
      <c r="L15" s="56"/>
      <c r="M15" s="56"/>
      <c r="N15" s="56"/>
      <c r="O15" s="56"/>
      <c r="P15" s="56"/>
      <c r="Q15" s="56"/>
      <c r="R15" s="56"/>
      <c r="S15" s="56"/>
      <c r="T15" s="56"/>
      <c r="U15" s="56"/>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70"/>
      <c r="EE15" s="70"/>
      <c r="EF15" s="70"/>
      <c r="EG15" s="70"/>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69"/>
      <c r="FG15" s="69"/>
      <c r="FH15" s="69"/>
      <c r="FI15" s="69"/>
      <c r="FJ15" s="69"/>
      <c r="FK15" s="69"/>
      <c r="FL15" s="69"/>
      <c r="FM15" s="69"/>
      <c r="FN15" s="69"/>
      <c r="FO15" s="69"/>
      <c r="FP15" s="69"/>
      <c r="FQ15" s="69"/>
      <c r="FR15" s="69"/>
      <c r="FS15" s="69"/>
      <c r="FT15" s="69"/>
      <c r="FU15" s="69"/>
      <c r="FV15" s="69"/>
      <c r="FW15" s="69"/>
      <c r="FX15" s="69"/>
      <c r="FY15" s="69"/>
      <c r="FZ15" s="69"/>
      <c r="GA15" s="69"/>
      <c r="GB15" s="69"/>
      <c r="GC15" s="69"/>
      <c r="GD15" s="69"/>
      <c r="GE15" s="69"/>
      <c r="GF15" s="69"/>
      <c r="GG15" s="69"/>
      <c r="GH15" s="69"/>
      <c r="GI15" s="69"/>
      <c r="GJ15" s="69"/>
      <c r="GK15" s="69"/>
      <c r="GL15" s="69"/>
      <c r="GM15" s="69"/>
      <c r="GN15" s="69"/>
      <c r="GO15" s="69"/>
      <c r="GP15" s="69"/>
      <c r="GQ15" s="69"/>
      <c r="GR15" s="69"/>
      <c r="GS15" s="69"/>
      <c r="GT15" s="69"/>
      <c r="GU15" s="69"/>
      <c r="GV15" s="69"/>
      <c r="GW15" s="69"/>
      <c r="GX15" s="69"/>
      <c r="GY15" s="69"/>
      <c r="GZ15" s="69"/>
      <c r="HA15" s="69"/>
      <c r="HB15" s="69"/>
      <c r="HC15" s="69"/>
      <c r="HD15" s="69"/>
      <c r="HE15" s="69"/>
      <c r="HF15" s="69"/>
      <c r="HG15" s="69"/>
      <c r="HH15" s="69"/>
      <c r="HI15" s="69"/>
      <c r="HJ15" s="69"/>
      <c r="HK15" s="69"/>
      <c r="HL15" s="69"/>
      <c r="HM15" s="69"/>
      <c r="HN15" s="69"/>
      <c r="HO15" s="69"/>
      <c r="HP15" s="69"/>
      <c r="HQ15" s="69"/>
      <c r="HR15" s="69"/>
      <c r="HS15" s="69"/>
      <c r="HT15" s="69"/>
      <c r="HU15" s="69"/>
      <c r="HV15" s="69"/>
      <c r="HW15" s="69"/>
      <c r="HX15" s="69"/>
      <c r="HY15" s="69"/>
      <c r="HZ15" s="69"/>
      <c r="IA15" s="69"/>
      <c r="IB15" s="69"/>
      <c r="IC15" s="69"/>
      <c r="ID15" s="69"/>
      <c r="IE15" s="69"/>
      <c r="IF15" s="69"/>
      <c r="IG15" s="69"/>
      <c r="IH15" s="69"/>
      <c r="II15" s="69"/>
      <c r="IJ15" s="69"/>
      <c r="IK15" s="69"/>
      <c r="IL15" s="69"/>
      <c r="IM15" s="69"/>
    </row>
    <row r="16" spans="1:247" x14ac:dyDescent="0.35">
      <c r="A16" s="65" t="str">
        <f t="shared" si="0"/>
        <v/>
      </c>
      <c r="B16" s="68" t="str">
        <f>Stoff!A16</f>
        <v>Lindan</v>
      </c>
      <c r="C16" s="67">
        <f t="shared" si="1"/>
        <v>0</v>
      </c>
      <c r="D16" s="55">
        <f t="shared" si="2"/>
        <v>0</v>
      </c>
      <c r="E16" s="55" t="e">
        <f t="shared" si="3"/>
        <v>#DIV/0!</v>
      </c>
      <c r="F16" s="66" t="e">
        <f t="shared" si="4"/>
        <v>#NUM!</v>
      </c>
      <c r="G16" s="56"/>
      <c r="H16" s="56"/>
      <c r="I16" s="56"/>
      <c r="J16" s="56"/>
      <c r="K16" s="56"/>
      <c r="L16" s="56"/>
      <c r="M16" s="56"/>
      <c r="N16" s="56"/>
      <c r="O16" s="56"/>
      <c r="P16" s="56"/>
      <c r="Q16" s="56"/>
      <c r="R16" s="56"/>
      <c r="S16" s="56"/>
      <c r="T16" s="56"/>
      <c r="U16" s="56"/>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70"/>
      <c r="EE16" s="70"/>
      <c r="EF16" s="70"/>
      <c r="EG16" s="70"/>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69"/>
      <c r="FG16" s="69"/>
      <c r="FH16" s="69"/>
      <c r="FI16" s="69"/>
      <c r="FJ16" s="69"/>
      <c r="FK16" s="69"/>
      <c r="FL16" s="69"/>
      <c r="FM16" s="69"/>
      <c r="FN16" s="69"/>
      <c r="FO16" s="69"/>
      <c r="FP16" s="69"/>
      <c r="FQ16" s="69"/>
      <c r="FR16" s="69"/>
      <c r="FS16" s="69"/>
      <c r="FT16" s="69"/>
      <c r="FU16" s="69"/>
      <c r="FV16" s="69"/>
      <c r="FW16" s="69"/>
      <c r="FX16" s="69"/>
      <c r="FY16" s="69"/>
      <c r="FZ16" s="69"/>
      <c r="GA16" s="69"/>
      <c r="GB16" s="69"/>
      <c r="GC16" s="69"/>
      <c r="GD16" s="69"/>
      <c r="GE16" s="69"/>
      <c r="GF16" s="69"/>
      <c r="GG16" s="69"/>
      <c r="GH16" s="69"/>
      <c r="GI16" s="69"/>
      <c r="GJ16" s="69"/>
      <c r="GK16" s="69"/>
      <c r="GL16" s="69"/>
      <c r="GM16" s="69"/>
      <c r="GN16" s="69"/>
      <c r="GO16" s="69"/>
      <c r="GP16" s="69"/>
      <c r="GQ16" s="69"/>
      <c r="GR16" s="69"/>
      <c r="GS16" s="69"/>
      <c r="GT16" s="69"/>
      <c r="GU16" s="69"/>
      <c r="GV16" s="69"/>
      <c r="GW16" s="69"/>
      <c r="GX16" s="69"/>
      <c r="GY16" s="69"/>
      <c r="GZ16" s="69"/>
      <c r="HA16" s="69"/>
      <c r="HB16" s="69"/>
      <c r="HC16" s="69"/>
      <c r="HD16" s="69"/>
      <c r="HE16" s="69"/>
      <c r="HF16" s="69"/>
      <c r="HG16" s="69"/>
      <c r="HH16" s="69"/>
      <c r="HI16" s="69"/>
      <c r="HJ16" s="69"/>
      <c r="HK16" s="69"/>
      <c r="HL16" s="69"/>
      <c r="HM16" s="69"/>
      <c r="HN16" s="69"/>
      <c r="HO16" s="69"/>
      <c r="HP16" s="69"/>
      <c r="HQ16" s="69"/>
      <c r="HR16" s="69"/>
      <c r="HS16" s="69"/>
      <c r="HT16" s="69"/>
      <c r="HU16" s="69"/>
      <c r="HV16" s="69"/>
      <c r="HW16" s="69"/>
      <c r="HX16" s="69"/>
      <c r="HY16" s="69"/>
      <c r="HZ16" s="69"/>
      <c r="IA16" s="69"/>
      <c r="IB16" s="69"/>
      <c r="IC16" s="69"/>
      <c r="ID16" s="69"/>
      <c r="IE16" s="69"/>
      <c r="IF16" s="69"/>
      <c r="IG16" s="69"/>
      <c r="IH16" s="69"/>
      <c r="II16" s="69"/>
      <c r="IJ16" s="69"/>
      <c r="IK16" s="69"/>
      <c r="IL16" s="69"/>
      <c r="IM16" s="69"/>
    </row>
    <row r="17" spans="1:247" x14ac:dyDescent="0.35">
      <c r="A17" s="65" t="str">
        <f t="shared" si="0"/>
        <v/>
      </c>
      <c r="B17" s="68" t="str">
        <f>Stoff!A17</f>
        <v>DDT</v>
      </c>
      <c r="C17" s="67">
        <f t="shared" si="1"/>
        <v>0</v>
      </c>
      <c r="D17" s="55">
        <f t="shared" si="2"/>
        <v>0</v>
      </c>
      <c r="E17" s="55" t="e">
        <f t="shared" si="3"/>
        <v>#DIV/0!</v>
      </c>
      <c r="F17" s="66" t="e">
        <f t="shared" si="4"/>
        <v>#NUM!</v>
      </c>
      <c r="G17" s="56"/>
      <c r="H17" s="56"/>
      <c r="I17" s="56"/>
      <c r="J17" s="56"/>
      <c r="K17" s="56"/>
      <c r="L17" s="56"/>
      <c r="M17" s="56"/>
      <c r="N17" s="56"/>
      <c r="O17" s="56"/>
      <c r="P17" s="56"/>
      <c r="Q17" s="56"/>
      <c r="R17" s="56"/>
      <c r="S17" s="56"/>
      <c r="T17" s="56"/>
      <c r="U17" s="56"/>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70"/>
      <c r="EE17" s="70"/>
      <c r="EF17" s="70"/>
      <c r="EG17" s="70"/>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69"/>
      <c r="FG17" s="69"/>
      <c r="FH17" s="69"/>
      <c r="FI17" s="69"/>
      <c r="FJ17" s="69"/>
      <c r="FK17" s="69"/>
      <c r="FL17" s="69"/>
      <c r="FM17" s="69"/>
      <c r="FN17" s="69"/>
      <c r="FO17" s="69"/>
      <c r="FP17" s="69"/>
      <c r="FQ17" s="69"/>
      <c r="FR17" s="69"/>
      <c r="FS17" s="69"/>
      <c r="FT17" s="69"/>
      <c r="FU17" s="69"/>
      <c r="FV17" s="69"/>
      <c r="FW17" s="69"/>
      <c r="FX17" s="69"/>
      <c r="FY17" s="69"/>
      <c r="FZ17" s="69"/>
      <c r="GA17" s="69"/>
      <c r="GB17" s="69"/>
      <c r="GC17" s="69"/>
      <c r="GD17" s="69"/>
      <c r="GE17" s="69"/>
      <c r="GF17" s="69"/>
      <c r="GG17" s="69"/>
      <c r="GH17" s="69"/>
      <c r="GI17" s="69"/>
      <c r="GJ17" s="69"/>
      <c r="GK17" s="69"/>
      <c r="GL17" s="69"/>
      <c r="GM17" s="69"/>
      <c r="GN17" s="69"/>
      <c r="GO17" s="69"/>
      <c r="GP17" s="69"/>
      <c r="GQ17" s="69"/>
      <c r="GR17" s="69"/>
      <c r="GS17" s="69"/>
      <c r="GT17" s="69"/>
      <c r="GU17" s="69"/>
      <c r="GV17" s="69"/>
      <c r="GW17" s="69"/>
      <c r="GX17" s="69"/>
      <c r="GY17" s="69"/>
      <c r="GZ17" s="69"/>
      <c r="HA17" s="69"/>
      <c r="HB17" s="69"/>
      <c r="HC17" s="69"/>
      <c r="HD17" s="69"/>
      <c r="HE17" s="69"/>
      <c r="HF17" s="69"/>
      <c r="HG17" s="69"/>
      <c r="HH17" s="69"/>
      <c r="HI17" s="69"/>
      <c r="HJ17" s="69"/>
      <c r="HK17" s="69"/>
      <c r="HL17" s="69"/>
      <c r="HM17" s="69"/>
      <c r="HN17" s="69"/>
      <c r="HO17" s="69"/>
      <c r="HP17" s="69"/>
      <c r="HQ17" s="69"/>
      <c r="HR17" s="69"/>
      <c r="HS17" s="69"/>
      <c r="HT17" s="69"/>
      <c r="HU17" s="69"/>
      <c r="HV17" s="69"/>
      <c r="HW17" s="69"/>
      <c r="HX17" s="69"/>
      <c r="HY17" s="69"/>
      <c r="HZ17" s="69"/>
      <c r="IA17" s="69"/>
      <c r="IB17" s="69"/>
      <c r="IC17" s="69"/>
      <c r="ID17" s="69"/>
      <c r="IE17" s="69"/>
      <c r="IF17" s="69"/>
      <c r="IG17" s="69"/>
      <c r="IH17" s="69"/>
      <c r="II17" s="69"/>
      <c r="IJ17" s="69"/>
      <c r="IK17" s="69"/>
      <c r="IL17" s="69"/>
      <c r="IM17" s="69"/>
    </row>
    <row r="18" spans="1:247" x14ac:dyDescent="0.35">
      <c r="A18" s="65" t="str">
        <f t="shared" si="0"/>
        <v/>
      </c>
      <c r="B18" s="68" t="str">
        <f>Stoff!A18</f>
        <v>Monoklorbensen</v>
      </c>
      <c r="C18" s="67">
        <f t="shared" si="1"/>
        <v>0</v>
      </c>
      <c r="D18" s="55">
        <f t="shared" si="2"/>
        <v>0</v>
      </c>
      <c r="E18" s="55" t="e">
        <f t="shared" si="3"/>
        <v>#DIV/0!</v>
      </c>
      <c r="F18" s="66" t="e">
        <f t="shared" si="4"/>
        <v>#NUM!</v>
      </c>
      <c r="G18" s="56"/>
      <c r="H18" s="56"/>
      <c r="I18" s="56"/>
      <c r="J18" s="56"/>
      <c r="K18" s="56"/>
      <c r="L18" s="56"/>
      <c r="M18" s="56"/>
      <c r="N18" s="56"/>
      <c r="O18" s="56"/>
      <c r="P18" s="56"/>
      <c r="Q18" s="56"/>
      <c r="R18" s="56"/>
      <c r="S18" s="56"/>
      <c r="T18" s="56"/>
      <c r="U18" s="56"/>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70"/>
      <c r="EE18" s="70"/>
      <c r="EF18" s="70"/>
      <c r="EG18" s="70"/>
      <c r="EH18" s="69"/>
      <c r="EI18" s="69"/>
      <c r="EJ18" s="69"/>
      <c r="EK18" s="69"/>
      <c r="EL18" s="69"/>
      <c r="EM18" s="69"/>
      <c r="EN18" s="69"/>
      <c r="EO18" s="69"/>
      <c r="EP18" s="69"/>
      <c r="EQ18" s="69"/>
      <c r="ER18" s="69"/>
      <c r="ES18" s="69"/>
      <c r="ET18" s="69"/>
      <c r="EU18" s="69"/>
      <c r="EV18" s="69"/>
      <c r="EW18" s="69"/>
      <c r="EX18" s="69"/>
      <c r="EY18" s="69"/>
      <c r="EZ18" s="69"/>
      <c r="FA18" s="69"/>
      <c r="FB18" s="69"/>
      <c r="FC18" s="69"/>
      <c r="FD18" s="69"/>
      <c r="FE18" s="69"/>
      <c r="FF18" s="69"/>
      <c r="FG18" s="69"/>
      <c r="FH18" s="69"/>
      <c r="FI18" s="69"/>
      <c r="FJ18" s="69"/>
      <c r="FK18" s="69"/>
      <c r="FL18" s="69"/>
      <c r="FM18" s="69"/>
      <c r="FN18" s="69"/>
      <c r="FO18" s="69"/>
      <c r="FP18" s="69"/>
      <c r="FQ18" s="69"/>
      <c r="FR18" s="69"/>
      <c r="FS18" s="69"/>
      <c r="FT18" s="69"/>
      <c r="FU18" s="69"/>
      <c r="FV18" s="69"/>
      <c r="FW18" s="69"/>
      <c r="FX18" s="69"/>
      <c r="FY18" s="69"/>
      <c r="FZ18" s="69"/>
      <c r="GA18" s="69"/>
      <c r="GB18" s="69"/>
      <c r="GC18" s="69"/>
      <c r="GD18" s="69"/>
      <c r="GE18" s="69"/>
      <c r="GF18" s="69"/>
      <c r="GG18" s="69"/>
      <c r="GH18" s="69"/>
      <c r="GI18" s="69"/>
      <c r="GJ18" s="69"/>
      <c r="GK18" s="69"/>
      <c r="GL18" s="69"/>
      <c r="GM18" s="69"/>
      <c r="GN18" s="69"/>
      <c r="GO18" s="69"/>
      <c r="GP18" s="69"/>
      <c r="GQ18" s="69"/>
      <c r="GR18" s="69"/>
      <c r="GS18" s="69"/>
      <c r="GT18" s="69"/>
      <c r="GU18" s="69"/>
      <c r="GV18" s="69"/>
      <c r="GW18" s="69"/>
      <c r="GX18" s="69"/>
      <c r="GY18" s="69"/>
      <c r="GZ18" s="69"/>
      <c r="HA18" s="69"/>
      <c r="HB18" s="69"/>
      <c r="HC18" s="69"/>
      <c r="HD18" s="69"/>
      <c r="HE18" s="69"/>
      <c r="HF18" s="69"/>
      <c r="HG18" s="69"/>
      <c r="HH18" s="69"/>
      <c r="HI18" s="69"/>
      <c r="HJ18" s="69"/>
      <c r="HK18" s="69"/>
      <c r="HL18" s="69"/>
      <c r="HM18" s="69"/>
      <c r="HN18" s="69"/>
      <c r="HO18" s="69"/>
      <c r="HP18" s="69"/>
      <c r="HQ18" s="69"/>
      <c r="HR18" s="69"/>
      <c r="HS18" s="69"/>
      <c r="HT18" s="69"/>
      <c r="HU18" s="69"/>
      <c r="HV18" s="69"/>
      <c r="HW18" s="69"/>
      <c r="HX18" s="69"/>
      <c r="HY18" s="69"/>
      <c r="HZ18" s="69"/>
      <c r="IA18" s="69"/>
      <c r="IB18" s="69"/>
      <c r="IC18" s="69"/>
      <c r="ID18" s="69"/>
      <c r="IE18" s="69"/>
      <c r="IF18" s="69"/>
      <c r="IG18" s="69"/>
      <c r="IH18" s="69"/>
      <c r="II18" s="69"/>
      <c r="IJ18" s="69"/>
      <c r="IK18" s="69"/>
      <c r="IL18" s="69"/>
      <c r="IM18" s="69"/>
    </row>
    <row r="19" spans="1:247" x14ac:dyDescent="0.35">
      <c r="A19" s="65" t="str">
        <f t="shared" si="0"/>
        <v/>
      </c>
      <c r="B19" s="68" t="str">
        <f>Stoff!A19</f>
        <v>1,2-diklorbensen</v>
      </c>
      <c r="C19" s="67">
        <f t="shared" si="1"/>
        <v>0</v>
      </c>
      <c r="D19" s="55">
        <f t="shared" si="2"/>
        <v>0</v>
      </c>
      <c r="E19" s="55" t="e">
        <f t="shared" si="3"/>
        <v>#DIV/0!</v>
      </c>
      <c r="F19" s="66" t="e">
        <f t="shared" si="4"/>
        <v>#NUM!</v>
      </c>
      <c r="G19" s="56"/>
      <c r="H19" s="56"/>
      <c r="I19" s="56"/>
      <c r="J19" s="56"/>
      <c r="K19" s="56"/>
      <c r="L19" s="56"/>
      <c r="M19" s="56"/>
      <c r="N19" s="56"/>
      <c r="O19" s="56"/>
      <c r="P19" s="56"/>
      <c r="Q19" s="56"/>
      <c r="R19" s="56"/>
      <c r="S19" s="56"/>
      <c r="T19" s="56"/>
      <c r="U19" s="56"/>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70"/>
      <c r="EE19" s="70"/>
      <c r="EF19" s="70"/>
      <c r="EG19" s="70"/>
      <c r="EH19" s="69"/>
      <c r="EI19" s="69"/>
      <c r="EJ19" s="69"/>
      <c r="EK19" s="69"/>
      <c r="EL19" s="69"/>
      <c r="EM19" s="69"/>
      <c r="EN19" s="69"/>
      <c r="EO19" s="69"/>
      <c r="EP19" s="69"/>
      <c r="EQ19" s="69"/>
      <c r="ER19" s="69"/>
      <c r="ES19" s="69"/>
      <c r="ET19" s="69"/>
      <c r="EU19" s="69"/>
      <c r="EV19" s="69"/>
      <c r="EW19" s="69"/>
      <c r="EX19" s="69"/>
      <c r="EY19" s="69"/>
      <c r="EZ19" s="69"/>
      <c r="FA19" s="69"/>
      <c r="FB19" s="69"/>
      <c r="FC19" s="69"/>
      <c r="FD19" s="69"/>
      <c r="FE19" s="69"/>
      <c r="FF19" s="69"/>
      <c r="FG19" s="69"/>
      <c r="FH19" s="69"/>
      <c r="FI19" s="69"/>
      <c r="FJ19" s="69"/>
      <c r="FK19" s="69"/>
      <c r="FL19" s="69"/>
      <c r="FM19" s="69"/>
      <c r="FN19" s="69"/>
      <c r="FO19" s="69"/>
      <c r="FP19" s="69"/>
      <c r="FQ19" s="69"/>
      <c r="FR19" s="69"/>
      <c r="FS19" s="69"/>
      <c r="FT19" s="69"/>
      <c r="FU19" s="69"/>
      <c r="FV19" s="69"/>
      <c r="FW19" s="69"/>
      <c r="FX19" s="69"/>
      <c r="FY19" s="69"/>
      <c r="FZ19" s="69"/>
      <c r="GA19" s="69"/>
      <c r="GB19" s="69"/>
      <c r="GC19" s="69"/>
      <c r="GD19" s="69"/>
      <c r="GE19" s="69"/>
      <c r="GF19" s="69"/>
      <c r="GG19" s="69"/>
      <c r="GH19" s="69"/>
      <c r="GI19" s="69"/>
      <c r="GJ19" s="69"/>
      <c r="GK19" s="69"/>
      <c r="GL19" s="69"/>
      <c r="GM19" s="69"/>
      <c r="GN19" s="69"/>
      <c r="GO19" s="69"/>
      <c r="GP19" s="69"/>
      <c r="GQ19" s="69"/>
      <c r="GR19" s="69"/>
      <c r="GS19" s="69"/>
      <c r="GT19" s="69"/>
      <c r="GU19" s="69"/>
      <c r="GV19" s="69"/>
      <c r="GW19" s="69"/>
      <c r="GX19" s="69"/>
      <c r="GY19" s="69"/>
      <c r="GZ19" s="69"/>
      <c r="HA19" s="69"/>
      <c r="HB19" s="69"/>
      <c r="HC19" s="69"/>
      <c r="HD19" s="69"/>
      <c r="HE19" s="69"/>
      <c r="HF19" s="69"/>
      <c r="HG19" s="69"/>
      <c r="HH19" s="69"/>
      <c r="HI19" s="69"/>
      <c r="HJ19" s="69"/>
      <c r="HK19" s="69"/>
      <c r="HL19" s="69"/>
      <c r="HM19" s="69"/>
      <c r="HN19" s="69"/>
      <c r="HO19" s="69"/>
      <c r="HP19" s="69"/>
      <c r="HQ19" s="69"/>
      <c r="HR19" s="69"/>
      <c r="HS19" s="69"/>
      <c r="HT19" s="69"/>
      <c r="HU19" s="69"/>
      <c r="HV19" s="69"/>
      <c r="HW19" s="69"/>
      <c r="HX19" s="69"/>
      <c r="HY19" s="69"/>
      <c r="HZ19" s="69"/>
      <c r="IA19" s="69"/>
      <c r="IB19" s="69"/>
      <c r="IC19" s="69"/>
      <c r="ID19" s="69"/>
      <c r="IE19" s="69"/>
      <c r="IF19" s="69"/>
      <c r="IG19" s="69"/>
      <c r="IH19" s="69"/>
      <c r="II19" s="69"/>
      <c r="IJ19" s="69"/>
      <c r="IK19" s="69"/>
      <c r="IL19" s="69"/>
      <c r="IM19" s="69"/>
    </row>
    <row r="20" spans="1:247" x14ac:dyDescent="0.35">
      <c r="A20" s="65" t="str">
        <f t="shared" si="0"/>
        <v/>
      </c>
      <c r="B20" s="68" t="str">
        <f>Stoff!A20</f>
        <v>1,4-diklorbensen</v>
      </c>
      <c r="C20" s="67">
        <f t="shared" si="1"/>
        <v>0</v>
      </c>
      <c r="D20" s="55">
        <f t="shared" si="2"/>
        <v>0</v>
      </c>
      <c r="E20" s="55" t="e">
        <f t="shared" si="3"/>
        <v>#DIV/0!</v>
      </c>
      <c r="F20" s="66" t="e">
        <f t="shared" si="4"/>
        <v>#NUM!</v>
      </c>
      <c r="G20" s="56"/>
      <c r="H20" s="56"/>
      <c r="I20" s="56"/>
      <c r="J20" s="56"/>
      <c r="K20" s="56"/>
      <c r="L20" s="56"/>
      <c r="M20" s="56"/>
      <c r="N20" s="56"/>
      <c r="O20" s="56"/>
      <c r="P20" s="56"/>
      <c r="Q20" s="56"/>
      <c r="R20" s="56"/>
      <c r="S20" s="56"/>
      <c r="T20" s="56"/>
      <c r="U20" s="56"/>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70"/>
      <c r="EE20" s="70"/>
      <c r="EF20" s="70"/>
      <c r="EG20" s="70"/>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9"/>
      <c r="GE20" s="69"/>
      <c r="GF20" s="69"/>
      <c r="GG20" s="69"/>
      <c r="GH20" s="69"/>
      <c r="GI20" s="69"/>
      <c r="GJ20" s="69"/>
      <c r="GK20" s="69"/>
      <c r="GL20" s="69"/>
      <c r="GM20" s="69"/>
      <c r="GN20" s="69"/>
      <c r="GO20" s="69"/>
      <c r="GP20" s="69"/>
      <c r="GQ20" s="69"/>
      <c r="GR20" s="69"/>
      <c r="GS20" s="69"/>
      <c r="GT20" s="69"/>
      <c r="GU20" s="69"/>
      <c r="GV20" s="69"/>
      <c r="GW20" s="69"/>
      <c r="GX20" s="69"/>
      <c r="GY20" s="69"/>
      <c r="GZ20" s="69"/>
      <c r="HA20" s="69"/>
      <c r="HB20" s="69"/>
      <c r="HC20" s="69"/>
      <c r="HD20" s="69"/>
      <c r="HE20" s="69"/>
      <c r="HF20" s="69"/>
      <c r="HG20" s="69"/>
      <c r="HH20" s="69"/>
      <c r="HI20" s="69"/>
      <c r="HJ20" s="69"/>
      <c r="HK20" s="69"/>
      <c r="HL20" s="69"/>
      <c r="HM20" s="69"/>
      <c r="HN20" s="69"/>
      <c r="HO20" s="69"/>
      <c r="HP20" s="69"/>
      <c r="HQ20" s="69"/>
      <c r="HR20" s="69"/>
      <c r="HS20" s="69"/>
      <c r="HT20" s="69"/>
      <c r="HU20" s="69"/>
      <c r="HV20" s="69"/>
      <c r="HW20" s="69"/>
      <c r="HX20" s="69"/>
      <c r="HY20" s="69"/>
      <c r="HZ20" s="69"/>
      <c r="IA20" s="69"/>
      <c r="IB20" s="69"/>
      <c r="IC20" s="69"/>
      <c r="ID20" s="69"/>
      <c r="IE20" s="69"/>
      <c r="IF20" s="69"/>
      <c r="IG20" s="69"/>
      <c r="IH20" s="69"/>
      <c r="II20" s="69"/>
      <c r="IJ20" s="69"/>
      <c r="IK20" s="69"/>
      <c r="IL20" s="69"/>
      <c r="IM20" s="69"/>
    </row>
    <row r="21" spans="1:247" x14ac:dyDescent="0.35">
      <c r="A21" s="65" t="str">
        <f t="shared" si="0"/>
        <v/>
      </c>
      <c r="B21" s="68" t="str">
        <f>Stoff!A21</f>
        <v>1,2,4-triklorbensen</v>
      </c>
      <c r="C21" s="67">
        <f t="shared" si="1"/>
        <v>0</v>
      </c>
      <c r="D21" s="55">
        <f t="shared" si="2"/>
        <v>0</v>
      </c>
      <c r="E21" s="55" t="e">
        <f t="shared" si="3"/>
        <v>#DIV/0!</v>
      </c>
      <c r="F21" s="66" t="e">
        <f t="shared" si="4"/>
        <v>#NUM!</v>
      </c>
      <c r="G21" s="56"/>
      <c r="H21" s="56"/>
      <c r="I21" s="56"/>
      <c r="J21" s="56"/>
      <c r="K21" s="56"/>
      <c r="L21" s="56"/>
      <c r="M21" s="56"/>
      <c r="N21" s="56"/>
      <c r="O21" s="56"/>
      <c r="P21" s="56"/>
      <c r="Q21" s="56"/>
      <c r="R21" s="56"/>
      <c r="S21" s="56"/>
      <c r="T21" s="56"/>
      <c r="U21" s="56"/>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70"/>
      <c r="EE21" s="70"/>
      <c r="EF21" s="70"/>
      <c r="EG21" s="70"/>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9"/>
      <c r="GE21" s="69"/>
      <c r="GF21" s="69"/>
      <c r="GG21" s="69"/>
      <c r="GH21" s="69"/>
      <c r="GI21" s="69"/>
      <c r="GJ21" s="69"/>
      <c r="GK21" s="69"/>
      <c r="GL21" s="69"/>
      <c r="GM21" s="69"/>
      <c r="GN21" s="69"/>
      <c r="GO21" s="69"/>
      <c r="GP21" s="69"/>
      <c r="GQ21" s="69"/>
      <c r="GR21" s="69"/>
      <c r="GS21" s="69"/>
      <c r="GT21" s="69"/>
      <c r="GU21" s="69"/>
      <c r="GV21" s="69"/>
      <c r="GW21" s="69"/>
      <c r="GX21" s="69"/>
      <c r="GY21" s="69"/>
      <c r="GZ21" s="69"/>
      <c r="HA21" s="69"/>
      <c r="HB21" s="69"/>
      <c r="HC21" s="69"/>
      <c r="HD21" s="69"/>
      <c r="HE21" s="69"/>
      <c r="HF21" s="69"/>
      <c r="HG21" s="69"/>
      <c r="HH21" s="69"/>
      <c r="HI21" s="69"/>
      <c r="HJ21" s="69"/>
      <c r="HK21" s="69"/>
      <c r="HL21" s="69"/>
      <c r="HM21" s="69"/>
      <c r="HN21" s="69"/>
      <c r="HO21" s="69"/>
      <c r="HP21" s="69"/>
      <c r="HQ21" s="69"/>
      <c r="HR21" s="69"/>
      <c r="HS21" s="69"/>
      <c r="HT21" s="69"/>
      <c r="HU21" s="69"/>
      <c r="HV21" s="69"/>
      <c r="HW21" s="69"/>
      <c r="HX21" s="69"/>
      <c r="HY21" s="69"/>
      <c r="HZ21" s="69"/>
      <c r="IA21" s="69"/>
      <c r="IB21" s="69"/>
      <c r="IC21" s="69"/>
      <c r="ID21" s="69"/>
      <c r="IE21" s="69"/>
      <c r="IF21" s="69"/>
      <c r="IG21" s="69"/>
      <c r="IH21" s="69"/>
      <c r="II21" s="69"/>
      <c r="IJ21" s="69"/>
      <c r="IK21" s="69"/>
      <c r="IL21" s="69"/>
      <c r="IM21" s="69"/>
    </row>
    <row r="22" spans="1:247" x14ac:dyDescent="0.35">
      <c r="A22" s="65" t="str">
        <f t="shared" si="0"/>
        <v/>
      </c>
      <c r="B22" s="68" t="str">
        <f>Stoff!A22</f>
        <v>1,2,3-triklorbensen</v>
      </c>
      <c r="C22" s="67">
        <f t="shared" si="1"/>
        <v>0</v>
      </c>
      <c r="D22" s="55">
        <f t="shared" si="2"/>
        <v>0</v>
      </c>
      <c r="E22" s="55" t="e">
        <f t="shared" si="3"/>
        <v>#DIV/0!</v>
      </c>
      <c r="F22" s="66" t="e">
        <f t="shared" si="4"/>
        <v>#NUM!</v>
      </c>
      <c r="G22" s="56"/>
      <c r="H22" s="56"/>
      <c r="I22" s="56"/>
      <c r="J22" s="56"/>
      <c r="K22" s="56"/>
      <c r="L22" s="72"/>
      <c r="M22" s="56"/>
      <c r="N22" s="56"/>
      <c r="O22" s="56"/>
      <c r="P22" s="56"/>
      <c r="Q22" s="56"/>
      <c r="R22" s="56"/>
      <c r="S22" s="56"/>
      <c r="T22" s="56"/>
      <c r="U22" s="56"/>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70"/>
      <c r="EE22" s="70"/>
      <c r="EF22" s="70"/>
      <c r="EG22" s="70"/>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9"/>
      <c r="GE22" s="69"/>
      <c r="GF22" s="69"/>
      <c r="GG22" s="69"/>
      <c r="GH22" s="69"/>
      <c r="GI22" s="69"/>
      <c r="GJ22" s="69"/>
      <c r="GK22" s="69"/>
      <c r="GL22" s="69"/>
      <c r="GM22" s="69"/>
      <c r="GN22" s="69"/>
      <c r="GO22" s="69"/>
      <c r="GP22" s="69"/>
      <c r="GQ22" s="69"/>
      <c r="GR22" s="69"/>
      <c r="GS22" s="69"/>
      <c r="GT22" s="69"/>
      <c r="GU22" s="69"/>
      <c r="GV22" s="69"/>
      <c r="GW22" s="69"/>
      <c r="GX22" s="69"/>
      <c r="GY22" s="69"/>
      <c r="GZ22" s="69"/>
      <c r="HA22" s="69"/>
      <c r="HB22" s="69"/>
      <c r="HC22" s="69"/>
      <c r="HD22" s="69"/>
      <c r="HE22" s="69"/>
      <c r="HF22" s="69"/>
      <c r="HG22" s="69"/>
      <c r="HH22" s="69"/>
      <c r="HI22" s="69"/>
      <c r="HJ22" s="69"/>
      <c r="HK22" s="69"/>
      <c r="HL22" s="69"/>
      <c r="HM22" s="69"/>
      <c r="HN22" s="69"/>
      <c r="HO22" s="69"/>
      <c r="HP22" s="69"/>
      <c r="HQ22" s="69"/>
      <c r="HR22" s="69"/>
      <c r="HS22" s="69"/>
      <c r="HT22" s="69"/>
      <c r="HU22" s="69"/>
      <c r="HV22" s="69"/>
      <c r="HW22" s="69"/>
      <c r="HX22" s="69"/>
      <c r="HY22" s="69"/>
      <c r="HZ22" s="69"/>
      <c r="IA22" s="69"/>
      <c r="IB22" s="69"/>
      <c r="IC22" s="69"/>
      <c r="ID22" s="69"/>
      <c r="IE22" s="69"/>
      <c r="IF22" s="69"/>
      <c r="IG22" s="69"/>
      <c r="IH22" s="69"/>
      <c r="II22" s="69"/>
      <c r="IJ22" s="69"/>
      <c r="IK22" s="69"/>
      <c r="IL22" s="69"/>
      <c r="IM22" s="69"/>
    </row>
    <row r="23" spans="1:247" x14ac:dyDescent="0.35">
      <c r="A23" s="65" t="str">
        <f t="shared" si="0"/>
        <v/>
      </c>
      <c r="B23" s="68" t="str">
        <f>Stoff!A23</f>
        <v>1,3,5-triklorbensen</v>
      </c>
      <c r="C23" s="67">
        <f t="shared" si="1"/>
        <v>0</v>
      </c>
      <c r="D23" s="55">
        <f t="shared" si="2"/>
        <v>0</v>
      </c>
      <c r="E23" s="55" t="e">
        <f t="shared" si="3"/>
        <v>#DIV/0!</v>
      </c>
      <c r="F23" s="66" t="e">
        <f t="shared" si="4"/>
        <v>#NUM!</v>
      </c>
      <c r="G23" s="56"/>
      <c r="H23" s="56"/>
      <c r="I23" s="56"/>
      <c r="J23" s="56"/>
      <c r="K23" s="56"/>
      <c r="L23" s="72"/>
      <c r="M23" s="56"/>
      <c r="N23" s="56"/>
      <c r="O23" s="56"/>
      <c r="P23" s="56"/>
      <c r="Q23" s="56"/>
      <c r="R23" s="56"/>
      <c r="S23" s="56"/>
      <c r="T23" s="56"/>
      <c r="U23" s="56"/>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70"/>
      <c r="EE23" s="70"/>
      <c r="EF23" s="70"/>
      <c r="EG23" s="70"/>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row>
    <row r="24" spans="1:247" x14ac:dyDescent="0.35">
      <c r="A24" s="65" t="str">
        <f t="shared" si="0"/>
        <v/>
      </c>
      <c r="B24" s="68" t="str">
        <f>Stoff!A24</f>
        <v>1,2,4,5-tetraklorbensen</v>
      </c>
      <c r="C24" s="67">
        <f t="shared" si="1"/>
        <v>0</v>
      </c>
      <c r="D24" s="55">
        <f t="shared" si="2"/>
        <v>0</v>
      </c>
      <c r="E24" s="55" t="e">
        <f t="shared" si="3"/>
        <v>#DIV/0!</v>
      </c>
      <c r="F24" s="66" t="e">
        <f t="shared" si="4"/>
        <v>#NUM!</v>
      </c>
      <c r="G24" s="56"/>
      <c r="H24" s="56"/>
      <c r="I24" s="56"/>
      <c r="J24" s="56"/>
      <c r="K24" s="56"/>
      <c r="L24" s="72"/>
      <c r="M24" s="56"/>
      <c r="N24" s="56"/>
      <c r="O24" s="56"/>
      <c r="P24" s="56"/>
      <c r="Q24" s="56"/>
      <c r="R24" s="56"/>
      <c r="S24" s="56"/>
      <c r="T24" s="56"/>
      <c r="U24" s="56"/>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70"/>
      <c r="EE24" s="70"/>
      <c r="EF24" s="70"/>
      <c r="EG24" s="70"/>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row>
    <row r="25" spans="1:247" x14ac:dyDescent="0.35">
      <c r="A25" s="65" t="str">
        <f t="shared" si="0"/>
        <v/>
      </c>
      <c r="B25" s="68" t="str">
        <f>Stoff!A25</f>
        <v>Pentaklorbensen</v>
      </c>
      <c r="C25" s="67">
        <f t="shared" si="1"/>
        <v>0</v>
      </c>
      <c r="D25" s="55">
        <f t="shared" si="2"/>
        <v>0</v>
      </c>
      <c r="E25" s="55" t="e">
        <f t="shared" si="3"/>
        <v>#DIV/0!</v>
      </c>
      <c r="F25" s="66" t="e">
        <f t="shared" si="4"/>
        <v>#NUM!</v>
      </c>
      <c r="G25" s="56"/>
      <c r="H25" s="56"/>
      <c r="I25" s="56"/>
      <c r="J25" s="56"/>
      <c r="K25" s="56"/>
      <c r="L25" s="72"/>
      <c r="M25" s="56"/>
      <c r="N25" s="56"/>
      <c r="O25" s="56"/>
      <c r="P25" s="56"/>
      <c r="Q25" s="56"/>
      <c r="R25" s="56"/>
      <c r="S25" s="56"/>
      <c r="T25" s="56"/>
      <c r="U25" s="56"/>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70"/>
      <c r="EE25" s="70"/>
      <c r="EF25" s="70"/>
      <c r="EG25" s="70"/>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row>
    <row r="26" spans="1:247" x14ac:dyDescent="0.35">
      <c r="A26" s="65" t="str">
        <f t="shared" si="0"/>
        <v/>
      </c>
      <c r="B26" s="68" t="str">
        <f>Stoff!A26</f>
        <v>Heksaklorbensen</v>
      </c>
      <c r="C26" s="67">
        <f t="shared" si="1"/>
        <v>0</v>
      </c>
      <c r="D26" s="55">
        <f t="shared" si="2"/>
        <v>0</v>
      </c>
      <c r="E26" s="55" t="e">
        <f t="shared" si="3"/>
        <v>#DIV/0!</v>
      </c>
      <c r="F26" s="66" t="e">
        <f t="shared" si="4"/>
        <v>#NUM!</v>
      </c>
      <c r="G26" s="56"/>
      <c r="H26" s="56"/>
      <c r="I26" s="56"/>
      <c r="J26" s="56"/>
      <c r="K26" s="56"/>
      <c r="L26" s="72"/>
      <c r="M26" s="56"/>
      <c r="N26" s="56"/>
      <c r="O26" s="56"/>
      <c r="P26" s="56"/>
      <c r="Q26" s="56"/>
      <c r="R26" s="56"/>
      <c r="S26" s="56"/>
      <c r="T26" s="56"/>
      <c r="U26" s="56"/>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70"/>
      <c r="EE26" s="70"/>
      <c r="EF26" s="70"/>
      <c r="EG26" s="70"/>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row>
    <row r="27" spans="1:247" x14ac:dyDescent="0.35">
      <c r="A27" s="65" t="str">
        <f t="shared" si="0"/>
        <v/>
      </c>
      <c r="B27" s="68" t="str">
        <f>Stoff!A27</f>
        <v>Diklormetan</v>
      </c>
      <c r="C27" s="67">
        <f t="shared" si="1"/>
        <v>0</v>
      </c>
      <c r="D27" s="55">
        <f t="shared" si="2"/>
        <v>0</v>
      </c>
      <c r="E27" s="55" t="e">
        <f t="shared" si="3"/>
        <v>#DIV/0!</v>
      </c>
      <c r="F27" s="66" t="e">
        <f t="shared" si="4"/>
        <v>#NUM!</v>
      </c>
      <c r="G27" s="56"/>
      <c r="H27" s="56"/>
      <c r="I27" s="56"/>
      <c r="J27" s="56"/>
      <c r="K27" s="56"/>
      <c r="L27" s="72"/>
      <c r="M27" s="56"/>
      <c r="N27" s="56"/>
      <c r="O27" s="56"/>
      <c r="P27" s="56"/>
      <c r="Q27" s="56"/>
      <c r="R27" s="56"/>
      <c r="S27" s="56"/>
      <c r="T27" s="56"/>
      <c r="U27" s="56"/>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70"/>
      <c r="EE27" s="70"/>
      <c r="EF27" s="70"/>
      <c r="EG27" s="70"/>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row>
    <row r="28" spans="1:247" x14ac:dyDescent="0.35">
      <c r="A28" s="65" t="str">
        <f t="shared" si="0"/>
        <v/>
      </c>
      <c r="B28" s="68" t="str">
        <f>Stoff!A28</f>
        <v>Triklormetan</v>
      </c>
      <c r="C28" s="67">
        <f t="shared" si="1"/>
        <v>0</v>
      </c>
      <c r="D28" s="55">
        <f t="shared" si="2"/>
        <v>0</v>
      </c>
      <c r="E28" s="55" t="e">
        <f t="shared" si="3"/>
        <v>#DIV/0!</v>
      </c>
      <c r="F28" s="66" t="e">
        <f t="shared" si="4"/>
        <v>#NUM!</v>
      </c>
      <c r="G28" s="56"/>
      <c r="H28" s="56"/>
      <c r="I28" s="56"/>
      <c r="J28" s="56"/>
      <c r="K28" s="56"/>
      <c r="L28" s="72"/>
      <c r="M28" s="56"/>
      <c r="N28" s="56"/>
      <c r="O28" s="56"/>
      <c r="P28" s="56"/>
      <c r="Q28" s="56"/>
      <c r="R28" s="56"/>
      <c r="S28" s="56"/>
      <c r="T28" s="56"/>
      <c r="U28" s="56"/>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70"/>
      <c r="EE28" s="70"/>
      <c r="EF28" s="70"/>
      <c r="EG28" s="70"/>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row>
    <row r="29" spans="1:247" x14ac:dyDescent="0.35">
      <c r="A29" s="65" t="str">
        <f t="shared" si="0"/>
        <v/>
      </c>
      <c r="B29" s="68" t="str">
        <f>Stoff!A29</f>
        <v>Trikloreten</v>
      </c>
      <c r="C29" s="67">
        <f t="shared" si="1"/>
        <v>0</v>
      </c>
      <c r="D29" s="55">
        <f t="shared" si="2"/>
        <v>0</v>
      </c>
      <c r="E29" s="55" t="e">
        <f t="shared" si="3"/>
        <v>#DIV/0!</v>
      </c>
      <c r="F29" s="66" t="e">
        <f t="shared" si="4"/>
        <v>#NUM!</v>
      </c>
      <c r="G29" s="56"/>
      <c r="H29" s="56"/>
      <c r="I29" s="56"/>
      <c r="J29" s="56"/>
      <c r="K29" s="56"/>
      <c r="L29" s="56"/>
      <c r="M29" s="56"/>
      <c r="N29" s="56"/>
      <c r="O29" s="56"/>
      <c r="P29" s="56"/>
      <c r="Q29" s="56"/>
      <c r="R29" s="56"/>
      <c r="S29" s="56"/>
      <c r="T29" s="56"/>
      <c r="U29" s="56"/>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70"/>
      <c r="EE29" s="70"/>
      <c r="EF29" s="70"/>
      <c r="EG29" s="70"/>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row>
    <row r="30" spans="1:247" x14ac:dyDescent="0.35">
      <c r="A30" s="65" t="str">
        <f t="shared" si="0"/>
        <v/>
      </c>
      <c r="B30" s="68" t="str">
        <f>Stoff!A30</f>
        <v>Tetraklormetan</v>
      </c>
      <c r="C30" s="67">
        <f t="shared" si="1"/>
        <v>0</v>
      </c>
      <c r="D30" s="55">
        <f t="shared" si="2"/>
        <v>0</v>
      </c>
      <c r="E30" s="55" t="e">
        <f t="shared" si="3"/>
        <v>#DIV/0!</v>
      </c>
      <c r="F30" s="66" t="e">
        <f t="shared" si="4"/>
        <v>#NUM!</v>
      </c>
      <c r="G30" s="56"/>
      <c r="H30" s="56"/>
      <c r="I30" s="56"/>
      <c r="J30" s="56"/>
      <c r="K30" s="56"/>
      <c r="L30" s="71"/>
      <c r="M30" s="71"/>
      <c r="N30" s="71"/>
      <c r="O30" s="71"/>
      <c r="P30" s="56"/>
      <c r="Q30" s="56"/>
      <c r="R30" s="56"/>
      <c r="S30" s="56"/>
      <c r="T30" s="56"/>
      <c r="U30" s="56"/>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70"/>
      <c r="EE30" s="70"/>
      <c r="EF30" s="70"/>
      <c r="EG30" s="70"/>
      <c r="EH30" s="69"/>
      <c r="EI30" s="69"/>
      <c r="EJ30" s="69"/>
      <c r="EK30" s="69"/>
      <c r="EL30" s="69"/>
      <c r="EM30" s="69"/>
      <c r="EN30" s="69"/>
      <c r="EO30" s="69"/>
      <c r="EP30" s="69"/>
      <c r="EQ30" s="69"/>
      <c r="ER30" s="69"/>
      <c r="ES30" s="69"/>
      <c r="ET30" s="69"/>
      <c r="EU30" s="69"/>
      <c r="EV30" s="69"/>
      <c r="EW30" s="69"/>
      <c r="EX30" s="69"/>
      <c r="EY30" s="69"/>
      <c r="EZ30" s="69"/>
      <c r="FA30" s="69"/>
      <c r="FB30" s="69"/>
      <c r="FC30" s="69"/>
      <c r="FD30" s="69"/>
      <c r="FE30" s="69"/>
      <c r="FF30" s="69"/>
      <c r="FG30" s="69"/>
      <c r="FH30" s="69"/>
      <c r="FI30" s="69"/>
      <c r="FJ30" s="69"/>
      <c r="FK30" s="69"/>
      <c r="FL30" s="69"/>
      <c r="FM30" s="69"/>
      <c r="FN30" s="69"/>
      <c r="FO30" s="69"/>
      <c r="FP30" s="69"/>
      <c r="FQ30" s="69"/>
      <c r="FR30" s="69"/>
      <c r="FS30" s="69"/>
      <c r="FT30" s="69"/>
      <c r="FU30" s="69"/>
      <c r="FV30" s="69"/>
      <c r="FW30" s="69"/>
      <c r="FX30" s="69"/>
      <c r="FY30" s="69"/>
      <c r="FZ30" s="69"/>
      <c r="GA30" s="69"/>
      <c r="GB30" s="69"/>
      <c r="GC30" s="69"/>
      <c r="GD30" s="69"/>
      <c r="GE30" s="69"/>
      <c r="GF30" s="69"/>
      <c r="GG30" s="69"/>
      <c r="GH30" s="69"/>
      <c r="GI30" s="69"/>
      <c r="GJ30" s="69"/>
      <c r="GK30" s="69"/>
      <c r="GL30" s="69"/>
      <c r="GM30" s="69"/>
      <c r="GN30" s="69"/>
      <c r="GO30" s="69"/>
      <c r="GP30" s="69"/>
      <c r="GQ30" s="69"/>
      <c r="GR30" s="69"/>
      <c r="GS30" s="69"/>
      <c r="GT30" s="69"/>
      <c r="GU30" s="69"/>
      <c r="GV30" s="69"/>
      <c r="GW30" s="69"/>
      <c r="GX30" s="69"/>
      <c r="GY30" s="69"/>
      <c r="GZ30" s="69"/>
      <c r="HA30" s="69"/>
      <c r="HB30" s="69"/>
      <c r="HC30" s="69"/>
      <c r="HD30" s="69"/>
      <c r="HE30" s="69"/>
      <c r="HF30" s="69"/>
      <c r="HG30" s="69"/>
      <c r="HH30" s="69"/>
      <c r="HI30" s="69"/>
      <c r="HJ30" s="69"/>
      <c r="HK30" s="69"/>
      <c r="HL30" s="69"/>
      <c r="HM30" s="69"/>
      <c r="HN30" s="69"/>
      <c r="HO30" s="69"/>
      <c r="HP30" s="69"/>
      <c r="HQ30" s="69"/>
      <c r="HR30" s="69"/>
      <c r="HS30" s="69"/>
      <c r="HT30" s="69"/>
      <c r="HU30" s="69"/>
      <c r="HV30" s="69"/>
      <c r="HW30" s="69"/>
      <c r="HX30" s="69"/>
      <c r="HY30" s="69"/>
      <c r="HZ30" s="69"/>
      <c r="IA30" s="69"/>
      <c r="IB30" s="69"/>
      <c r="IC30" s="69"/>
      <c r="ID30" s="69"/>
      <c r="IE30" s="69"/>
      <c r="IF30" s="69"/>
      <c r="IG30" s="69"/>
      <c r="IH30" s="69"/>
      <c r="II30" s="69"/>
      <c r="IJ30" s="69"/>
      <c r="IK30" s="69"/>
      <c r="IL30" s="69"/>
      <c r="IM30" s="69"/>
    </row>
    <row r="31" spans="1:247" x14ac:dyDescent="0.35">
      <c r="A31" s="65" t="str">
        <f t="shared" si="0"/>
        <v/>
      </c>
      <c r="B31" s="68" t="str">
        <f>Stoff!A31</f>
        <v>Tetrakloreten</v>
      </c>
      <c r="C31" s="67">
        <f t="shared" si="1"/>
        <v>0</v>
      </c>
      <c r="D31" s="55">
        <f t="shared" si="2"/>
        <v>0</v>
      </c>
      <c r="E31" s="55" t="e">
        <f t="shared" si="3"/>
        <v>#DIV/0!</v>
      </c>
      <c r="F31" s="66" t="e">
        <f t="shared" si="4"/>
        <v>#NUM!</v>
      </c>
      <c r="G31" s="56"/>
      <c r="H31" s="56"/>
      <c r="I31" s="56"/>
      <c r="J31" s="56"/>
      <c r="K31" s="56"/>
      <c r="L31" s="56"/>
      <c r="M31" s="56"/>
      <c r="N31" s="56"/>
      <c r="O31" s="56"/>
      <c r="P31" s="56"/>
      <c r="Q31" s="56"/>
      <c r="R31" s="56"/>
      <c r="S31" s="56"/>
      <c r="T31" s="56"/>
      <c r="U31" s="56"/>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70"/>
      <c r="EE31" s="70"/>
      <c r="EF31" s="70"/>
      <c r="EG31" s="70"/>
      <c r="EH31" s="69"/>
      <c r="EI31" s="69"/>
      <c r="EJ31" s="69"/>
      <c r="EK31" s="69"/>
      <c r="EL31" s="69"/>
      <c r="EM31" s="69"/>
      <c r="EN31" s="69"/>
      <c r="EO31" s="69"/>
      <c r="EP31" s="69"/>
      <c r="EQ31" s="69"/>
      <c r="ER31" s="69"/>
      <c r="ES31" s="69"/>
      <c r="ET31" s="69"/>
      <c r="EU31" s="69"/>
      <c r="EV31" s="69"/>
      <c r="EW31" s="69"/>
      <c r="EX31" s="69"/>
      <c r="EY31" s="69"/>
      <c r="EZ31" s="69"/>
      <c r="FA31" s="69"/>
      <c r="FB31" s="69"/>
      <c r="FC31" s="69"/>
      <c r="FD31" s="69"/>
      <c r="FE31" s="69"/>
      <c r="FF31" s="69"/>
      <c r="FG31" s="69"/>
      <c r="FH31" s="69"/>
      <c r="FI31" s="69"/>
      <c r="FJ31" s="69"/>
      <c r="FK31" s="69"/>
      <c r="FL31" s="69"/>
      <c r="FM31" s="69"/>
      <c r="FN31" s="69"/>
      <c r="FO31" s="69"/>
      <c r="FP31" s="69"/>
      <c r="FQ31" s="69"/>
      <c r="FR31" s="69"/>
      <c r="FS31" s="69"/>
      <c r="FT31" s="69"/>
      <c r="FU31" s="69"/>
      <c r="FV31" s="69"/>
      <c r="FW31" s="69"/>
      <c r="FX31" s="69"/>
      <c r="FY31" s="69"/>
      <c r="FZ31" s="69"/>
      <c r="GA31" s="69"/>
      <c r="GB31" s="69"/>
      <c r="GC31" s="69"/>
      <c r="GD31" s="69"/>
      <c r="GE31" s="69"/>
      <c r="GF31" s="69"/>
      <c r="GG31" s="69"/>
      <c r="GH31" s="69"/>
      <c r="GI31" s="69"/>
      <c r="GJ31" s="69"/>
      <c r="GK31" s="69"/>
      <c r="GL31" s="69"/>
      <c r="GM31" s="69"/>
      <c r="GN31" s="69"/>
      <c r="GO31" s="69"/>
      <c r="GP31" s="69"/>
      <c r="GQ31" s="69"/>
      <c r="GR31" s="69"/>
      <c r="GS31" s="69"/>
      <c r="GT31" s="69"/>
      <c r="GU31" s="69"/>
      <c r="GV31" s="69"/>
      <c r="GW31" s="69"/>
      <c r="GX31" s="69"/>
      <c r="GY31" s="69"/>
      <c r="GZ31" s="69"/>
      <c r="HA31" s="69"/>
      <c r="HB31" s="69"/>
      <c r="HC31" s="69"/>
      <c r="HD31" s="69"/>
      <c r="HE31" s="69"/>
      <c r="HF31" s="69"/>
      <c r="HG31" s="69"/>
      <c r="HH31" s="69"/>
      <c r="HI31" s="69"/>
      <c r="HJ31" s="69"/>
      <c r="HK31" s="69"/>
      <c r="HL31" s="69"/>
      <c r="HM31" s="69"/>
      <c r="HN31" s="69"/>
      <c r="HO31" s="69"/>
      <c r="HP31" s="69"/>
      <c r="HQ31" s="69"/>
      <c r="HR31" s="69"/>
      <c r="HS31" s="69"/>
      <c r="HT31" s="69"/>
      <c r="HU31" s="69"/>
      <c r="HV31" s="69"/>
      <c r="HW31" s="69"/>
      <c r="HX31" s="69"/>
      <c r="HY31" s="69"/>
      <c r="HZ31" s="69"/>
      <c r="IA31" s="69"/>
      <c r="IB31" s="69"/>
      <c r="IC31" s="69"/>
      <c r="ID31" s="69"/>
      <c r="IE31" s="69"/>
      <c r="IF31" s="69"/>
      <c r="IG31" s="69"/>
      <c r="IH31" s="69"/>
      <c r="II31" s="69"/>
      <c r="IJ31" s="69"/>
      <c r="IK31" s="69"/>
      <c r="IL31" s="69"/>
      <c r="IM31" s="69"/>
    </row>
    <row r="32" spans="1:247" x14ac:dyDescent="0.35">
      <c r="A32" s="65" t="str">
        <f t="shared" si="0"/>
        <v/>
      </c>
      <c r="B32" s="68" t="str">
        <f>Stoff!A32</f>
        <v>1,2-dikloretan</v>
      </c>
      <c r="C32" s="67">
        <f t="shared" si="1"/>
        <v>0</v>
      </c>
      <c r="D32" s="55">
        <f t="shared" si="2"/>
        <v>0</v>
      </c>
      <c r="E32" s="55" t="e">
        <f t="shared" si="3"/>
        <v>#DIV/0!</v>
      </c>
      <c r="F32" s="66" t="e">
        <f t="shared" si="4"/>
        <v>#NUM!</v>
      </c>
      <c r="G32" s="56"/>
      <c r="H32" s="56"/>
      <c r="I32" s="56"/>
      <c r="J32" s="56"/>
      <c r="K32" s="56"/>
      <c r="L32" s="56"/>
      <c r="M32" s="56"/>
      <c r="N32" s="56"/>
      <c r="O32" s="56"/>
      <c r="P32" s="56"/>
      <c r="Q32" s="56"/>
      <c r="R32" s="56"/>
      <c r="S32" s="56"/>
      <c r="T32" s="56"/>
      <c r="U32" s="56"/>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70"/>
      <c r="EE32" s="70"/>
      <c r="EF32" s="70"/>
      <c r="EG32" s="70"/>
      <c r="EH32" s="69"/>
      <c r="EI32" s="69"/>
      <c r="EJ32" s="69"/>
      <c r="EK32" s="69"/>
      <c r="EL32" s="69"/>
      <c r="EM32" s="69"/>
      <c r="EN32" s="69"/>
      <c r="EO32" s="69"/>
      <c r="EP32" s="69"/>
      <c r="EQ32" s="69"/>
      <c r="ER32" s="69"/>
      <c r="ES32" s="69"/>
      <c r="ET32" s="69"/>
      <c r="EU32" s="69"/>
      <c r="EV32" s="69"/>
      <c r="EW32" s="69"/>
      <c r="EX32" s="69"/>
      <c r="EY32" s="69"/>
      <c r="EZ32" s="69"/>
      <c r="FA32" s="69"/>
      <c r="FB32" s="69"/>
      <c r="FC32" s="69"/>
      <c r="FD32" s="69"/>
      <c r="FE32" s="69"/>
      <c r="FF32" s="69"/>
      <c r="FG32" s="69"/>
      <c r="FH32" s="69"/>
      <c r="FI32" s="69"/>
      <c r="FJ32" s="69"/>
      <c r="FK32" s="69"/>
      <c r="FL32" s="69"/>
      <c r="FM32" s="69"/>
      <c r="FN32" s="69"/>
      <c r="FO32" s="69"/>
      <c r="FP32" s="69"/>
      <c r="FQ32" s="69"/>
      <c r="FR32" s="69"/>
      <c r="FS32" s="69"/>
      <c r="FT32" s="69"/>
      <c r="FU32" s="69"/>
      <c r="FV32" s="69"/>
      <c r="FW32" s="69"/>
      <c r="FX32" s="69"/>
      <c r="FY32" s="69"/>
      <c r="FZ32" s="69"/>
      <c r="GA32" s="69"/>
      <c r="GB32" s="69"/>
      <c r="GC32" s="69"/>
      <c r="GD32" s="69"/>
      <c r="GE32" s="69"/>
      <c r="GF32" s="69"/>
      <c r="GG32" s="69"/>
      <c r="GH32" s="69"/>
      <c r="GI32" s="69"/>
      <c r="GJ32" s="69"/>
      <c r="GK32" s="69"/>
      <c r="GL32" s="69"/>
      <c r="GM32" s="69"/>
      <c r="GN32" s="69"/>
      <c r="GO32" s="69"/>
      <c r="GP32" s="69"/>
      <c r="GQ32" s="69"/>
      <c r="GR32" s="69"/>
      <c r="GS32" s="69"/>
      <c r="GT32" s="69"/>
      <c r="GU32" s="69"/>
      <c r="GV32" s="69"/>
      <c r="GW32" s="69"/>
      <c r="GX32" s="69"/>
      <c r="GY32" s="69"/>
      <c r="GZ32" s="69"/>
      <c r="HA32" s="69"/>
      <c r="HB32" s="69"/>
      <c r="HC32" s="69"/>
      <c r="HD32" s="69"/>
      <c r="HE32" s="69"/>
      <c r="HF32" s="69"/>
      <c r="HG32" s="69"/>
      <c r="HH32" s="69"/>
      <c r="HI32" s="69"/>
      <c r="HJ32" s="69"/>
      <c r="HK32" s="69"/>
      <c r="HL32" s="69"/>
      <c r="HM32" s="69"/>
      <c r="HN32" s="69"/>
      <c r="HO32" s="69"/>
      <c r="HP32" s="69"/>
      <c r="HQ32" s="69"/>
      <c r="HR32" s="69"/>
      <c r="HS32" s="69"/>
      <c r="HT32" s="69"/>
      <c r="HU32" s="69"/>
      <c r="HV32" s="69"/>
      <c r="HW32" s="69"/>
      <c r="HX32" s="69"/>
      <c r="HY32" s="69"/>
      <c r="HZ32" s="69"/>
      <c r="IA32" s="69"/>
      <c r="IB32" s="69"/>
      <c r="IC32" s="69"/>
      <c r="ID32" s="69"/>
      <c r="IE32" s="69"/>
      <c r="IF32" s="69"/>
      <c r="IG32" s="69"/>
      <c r="IH32" s="69"/>
      <c r="II32" s="69"/>
      <c r="IJ32" s="69"/>
      <c r="IK32" s="69"/>
      <c r="IL32" s="69"/>
      <c r="IM32" s="69"/>
    </row>
    <row r="33" spans="1:247" x14ac:dyDescent="0.35">
      <c r="A33" s="65" t="str">
        <f t="shared" si="0"/>
        <v/>
      </c>
      <c r="B33" s="68" t="str">
        <f>Stoff!A33</f>
        <v>1,2-dibrometan</v>
      </c>
      <c r="C33" s="67">
        <f t="shared" si="1"/>
        <v>0</v>
      </c>
      <c r="D33" s="55">
        <f t="shared" si="2"/>
        <v>0</v>
      </c>
      <c r="E33" s="55" t="e">
        <f t="shared" si="3"/>
        <v>#DIV/0!</v>
      </c>
      <c r="F33" s="66" t="e">
        <f t="shared" si="4"/>
        <v>#NUM!</v>
      </c>
      <c r="G33" s="56"/>
      <c r="H33" s="56"/>
      <c r="I33" s="56"/>
      <c r="J33" s="56"/>
      <c r="K33" s="56"/>
      <c r="L33" s="56"/>
      <c r="M33" s="56"/>
      <c r="N33" s="56"/>
      <c r="O33" s="56"/>
      <c r="P33" s="56"/>
      <c r="Q33" s="56"/>
      <c r="R33" s="56"/>
      <c r="S33" s="56"/>
      <c r="T33" s="56"/>
      <c r="U33" s="56"/>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70"/>
      <c r="EE33" s="70"/>
      <c r="EF33" s="70"/>
      <c r="EG33" s="70"/>
      <c r="EH33" s="69"/>
      <c r="EI33" s="69"/>
      <c r="EJ33" s="69"/>
      <c r="EK33" s="69"/>
      <c r="EL33" s="69"/>
      <c r="EM33" s="69"/>
      <c r="EN33" s="69"/>
      <c r="EO33" s="69"/>
      <c r="EP33" s="69"/>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9"/>
      <c r="GE33" s="69"/>
      <c r="GF33" s="69"/>
      <c r="GG33" s="69"/>
      <c r="GH33" s="69"/>
      <c r="GI33" s="69"/>
      <c r="GJ33" s="69"/>
      <c r="GK33" s="69"/>
      <c r="GL33" s="69"/>
      <c r="GM33" s="69"/>
      <c r="GN33" s="69"/>
      <c r="GO33" s="69"/>
      <c r="GP33" s="69"/>
      <c r="GQ33" s="69"/>
      <c r="GR33" s="69"/>
      <c r="GS33" s="69"/>
      <c r="GT33" s="69"/>
      <c r="GU33" s="69"/>
      <c r="GV33" s="69"/>
      <c r="GW33" s="69"/>
      <c r="GX33" s="69"/>
      <c r="GY33" s="69"/>
      <c r="GZ33" s="69"/>
      <c r="HA33" s="69"/>
      <c r="HB33" s="69"/>
      <c r="HC33" s="69"/>
      <c r="HD33" s="69"/>
      <c r="HE33" s="69"/>
      <c r="HF33" s="69"/>
      <c r="HG33" s="69"/>
      <c r="HH33" s="69"/>
      <c r="HI33" s="69"/>
      <c r="HJ33" s="69"/>
      <c r="HK33" s="69"/>
      <c r="HL33" s="69"/>
      <c r="HM33" s="69"/>
      <c r="HN33" s="69"/>
      <c r="HO33" s="69"/>
      <c r="HP33" s="69"/>
      <c r="HQ33" s="69"/>
      <c r="HR33" s="69"/>
      <c r="HS33" s="69"/>
      <c r="HT33" s="69"/>
      <c r="HU33" s="69"/>
      <c r="HV33" s="69"/>
      <c r="HW33" s="69"/>
      <c r="HX33" s="69"/>
      <c r="HY33" s="69"/>
      <c r="HZ33" s="69"/>
      <c r="IA33" s="69"/>
      <c r="IB33" s="69"/>
      <c r="IC33" s="69"/>
      <c r="ID33" s="69"/>
      <c r="IE33" s="69"/>
      <c r="IF33" s="69"/>
      <c r="IG33" s="69"/>
      <c r="IH33" s="69"/>
      <c r="II33" s="69"/>
      <c r="IJ33" s="69"/>
      <c r="IK33" s="69"/>
      <c r="IL33" s="69"/>
      <c r="IM33" s="69"/>
    </row>
    <row r="34" spans="1:247" x14ac:dyDescent="0.35">
      <c r="A34" s="65" t="str">
        <f t="shared" si="0"/>
        <v/>
      </c>
      <c r="B34" s="68" t="str">
        <f>Stoff!A34</f>
        <v>1,1,1-trikloretan</v>
      </c>
      <c r="C34" s="67">
        <f t="shared" si="1"/>
        <v>0</v>
      </c>
      <c r="D34" s="55">
        <f t="shared" si="2"/>
        <v>0</v>
      </c>
      <c r="E34" s="55" t="e">
        <f t="shared" si="3"/>
        <v>#DIV/0!</v>
      </c>
      <c r="F34" s="66" t="e">
        <f t="shared" si="4"/>
        <v>#NUM!</v>
      </c>
      <c r="G34" s="56"/>
      <c r="H34" s="56"/>
      <c r="I34" s="56"/>
      <c r="J34" s="56"/>
      <c r="K34" s="56"/>
      <c r="L34" s="56"/>
      <c r="M34" s="56"/>
      <c r="N34" s="56"/>
      <c r="O34" s="56"/>
      <c r="P34" s="56"/>
      <c r="Q34" s="56"/>
      <c r="R34" s="56"/>
      <c r="S34" s="56"/>
      <c r="T34" s="56"/>
      <c r="U34" s="56"/>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70"/>
      <c r="EE34" s="70"/>
      <c r="EF34" s="70"/>
      <c r="EG34" s="70"/>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row>
    <row r="35" spans="1:247" x14ac:dyDescent="0.35">
      <c r="A35" s="65" t="str">
        <f t="shared" ref="A35:A66" si="5">IF(C35&gt;0,"x","")</f>
        <v/>
      </c>
      <c r="B35" s="68" t="str">
        <f>Stoff!A35</f>
        <v>1,1,2-trikloretan</v>
      </c>
      <c r="C35" s="67">
        <f t="shared" ref="C35:C66" si="6">COUNT(G35:IV35)</f>
        <v>0</v>
      </c>
      <c r="D35" s="55">
        <f t="shared" ref="D35:D66" si="7">MAXA(G35:IV35)</f>
        <v>0</v>
      </c>
      <c r="E35" s="55" t="e">
        <f t="shared" ref="E35:E66" si="8">AVERAGE(G35:IV35)</f>
        <v>#DIV/0!</v>
      </c>
      <c r="F35" s="66" t="e">
        <f t="shared" ref="F35:F66" si="9">D35/MEDIAN(G35:IV35)</f>
        <v>#NUM!</v>
      </c>
      <c r="G35" s="56"/>
      <c r="H35" s="56"/>
      <c r="I35" s="56"/>
      <c r="J35" s="56"/>
      <c r="K35" s="56"/>
      <c r="L35" s="56"/>
      <c r="M35" s="56"/>
      <c r="N35" s="56"/>
      <c r="O35" s="56"/>
      <c r="P35" s="56"/>
      <c r="Q35" s="56"/>
      <c r="R35" s="56"/>
      <c r="S35" s="56"/>
      <c r="T35" s="56"/>
      <c r="U35" s="56"/>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70"/>
      <c r="EE35" s="70"/>
      <c r="EF35" s="70"/>
      <c r="EG35" s="70"/>
      <c r="EH35" s="69"/>
      <c r="EI35" s="69"/>
      <c r="EJ35" s="69"/>
      <c r="EK35" s="69"/>
      <c r="EL35" s="69"/>
      <c r="EM35" s="69"/>
      <c r="EN35" s="69"/>
      <c r="EO35" s="69"/>
      <c r="EP35" s="69"/>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9"/>
      <c r="GE35" s="69"/>
      <c r="GF35" s="69"/>
      <c r="GG35" s="69"/>
      <c r="GH35" s="69"/>
      <c r="GI35" s="69"/>
      <c r="GJ35" s="69"/>
      <c r="GK35" s="69"/>
      <c r="GL35" s="69"/>
      <c r="GM35" s="69"/>
      <c r="GN35" s="69"/>
      <c r="GO35" s="69"/>
      <c r="GP35" s="69"/>
      <c r="GQ35" s="69"/>
      <c r="GR35" s="69"/>
      <c r="GS35" s="69"/>
      <c r="GT35" s="69"/>
      <c r="GU35" s="69"/>
      <c r="GV35" s="69"/>
      <c r="GW35" s="69"/>
      <c r="GX35" s="69"/>
      <c r="GY35" s="69"/>
      <c r="GZ35" s="69"/>
      <c r="HA35" s="69"/>
      <c r="HB35" s="69"/>
      <c r="HC35" s="69"/>
      <c r="HD35" s="69"/>
      <c r="HE35" s="69"/>
      <c r="HF35" s="69"/>
      <c r="HG35" s="69"/>
      <c r="HH35" s="69"/>
      <c r="HI35" s="69"/>
      <c r="HJ35" s="69"/>
      <c r="HK35" s="69"/>
      <c r="HL35" s="69"/>
      <c r="HM35" s="69"/>
      <c r="HN35" s="69"/>
      <c r="HO35" s="69"/>
      <c r="HP35" s="69"/>
      <c r="HQ35" s="69"/>
      <c r="HR35" s="69"/>
      <c r="HS35" s="69"/>
      <c r="HT35" s="69"/>
      <c r="HU35" s="69"/>
      <c r="HV35" s="69"/>
      <c r="HW35" s="69"/>
      <c r="HX35" s="69"/>
      <c r="HY35" s="69"/>
      <c r="HZ35" s="69"/>
      <c r="IA35" s="69"/>
      <c r="IB35" s="69"/>
      <c r="IC35" s="69"/>
      <c r="ID35" s="69"/>
      <c r="IE35" s="69"/>
      <c r="IF35" s="69"/>
      <c r="IG35" s="69"/>
      <c r="IH35" s="69"/>
      <c r="II35" s="69"/>
      <c r="IJ35" s="69"/>
      <c r="IK35" s="69"/>
      <c r="IL35" s="69"/>
      <c r="IM35" s="69"/>
    </row>
    <row r="36" spans="1:247" x14ac:dyDescent="0.35">
      <c r="A36" s="65" t="str">
        <f t="shared" si="5"/>
        <v/>
      </c>
      <c r="B36" s="68" t="str">
        <f>Stoff!A36</f>
        <v>Fenol</v>
      </c>
      <c r="C36" s="67">
        <f t="shared" si="6"/>
        <v>0</v>
      </c>
      <c r="D36" s="55">
        <f t="shared" si="7"/>
        <v>0</v>
      </c>
      <c r="E36" s="55" t="e">
        <f t="shared" si="8"/>
        <v>#DIV/0!</v>
      </c>
      <c r="F36" s="66" t="e">
        <f t="shared" si="9"/>
        <v>#NUM!</v>
      </c>
      <c r="G36" s="56"/>
      <c r="H36" s="56"/>
      <c r="I36" s="56"/>
      <c r="J36" s="56"/>
      <c r="K36" s="56"/>
      <c r="L36" s="56"/>
      <c r="M36" s="56"/>
      <c r="N36" s="56"/>
      <c r="O36" s="56"/>
      <c r="P36" s="56"/>
      <c r="Q36" s="56"/>
      <c r="R36" s="56"/>
      <c r="S36" s="56"/>
      <c r="T36" s="56"/>
      <c r="U36" s="56"/>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70"/>
      <c r="EE36" s="70"/>
      <c r="EF36" s="70"/>
      <c r="EG36" s="70"/>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row>
    <row r="37" spans="1:247" x14ac:dyDescent="0.35">
      <c r="A37" s="65" t="str">
        <f t="shared" si="5"/>
        <v/>
      </c>
      <c r="B37" s="68" t="str">
        <f>Stoff!A37</f>
        <v>Sum mono,di,tri,tetra</v>
      </c>
      <c r="C37" s="67">
        <f t="shared" si="6"/>
        <v>0</v>
      </c>
      <c r="D37" s="55">
        <f t="shared" si="7"/>
        <v>0</v>
      </c>
      <c r="E37" s="55" t="e">
        <f t="shared" si="8"/>
        <v>#DIV/0!</v>
      </c>
      <c r="F37" s="66" t="e">
        <f t="shared" si="9"/>
        <v>#NUM!</v>
      </c>
      <c r="G37" s="56"/>
      <c r="H37" s="56"/>
      <c r="I37" s="56"/>
      <c r="J37" s="56"/>
      <c r="K37" s="56"/>
      <c r="L37" s="56"/>
      <c r="M37" s="56"/>
      <c r="N37" s="56"/>
      <c r="O37" s="56"/>
      <c r="P37" s="56"/>
      <c r="Q37" s="56"/>
      <c r="R37" s="56"/>
      <c r="S37" s="56"/>
      <c r="T37" s="56"/>
      <c r="U37" s="56"/>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69"/>
      <c r="EI37" s="69"/>
      <c r="EJ37" s="69"/>
      <c r="EK37" s="69"/>
      <c r="EL37" s="69"/>
      <c r="EM37" s="69"/>
      <c r="EN37" s="69"/>
      <c r="EO37" s="69"/>
      <c r="EP37" s="69"/>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9"/>
      <c r="GE37" s="69"/>
      <c r="GF37" s="69"/>
      <c r="GG37" s="69"/>
      <c r="GH37" s="69"/>
      <c r="GI37" s="69"/>
      <c r="GJ37" s="69"/>
      <c r="GK37" s="69"/>
      <c r="GL37" s="69"/>
      <c r="GM37" s="69"/>
      <c r="GN37" s="69"/>
      <c r="GO37" s="69"/>
      <c r="GP37" s="69"/>
      <c r="GQ37" s="69"/>
      <c r="GR37" s="69"/>
      <c r="GS37" s="69"/>
      <c r="GT37" s="69"/>
      <c r="GU37" s="69"/>
      <c r="GV37" s="69"/>
      <c r="GW37" s="69"/>
      <c r="GX37" s="69"/>
      <c r="GY37" s="69"/>
      <c r="GZ37" s="69"/>
      <c r="HA37" s="69"/>
      <c r="HB37" s="69"/>
      <c r="HC37" s="69"/>
      <c r="HD37" s="69"/>
      <c r="HE37" s="69"/>
      <c r="HF37" s="69"/>
      <c r="HG37" s="69"/>
      <c r="HH37" s="69"/>
      <c r="HI37" s="69"/>
      <c r="HJ37" s="69"/>
      <c r="HK37" s="69"/>
      <c r="HL37" s="69"/>
      <c r="HM37" s="69"/>
      <c r="HN37" s="69"/>
      <c r="HO37" s="69"/>
      <c r="HP37" s="69"/>
      <c r="HQ37" s="69"/>
      <c r="HR37" s="69"/>
      <c r="HS37" s="69"/>
      <c r="HT37" s="69"/>
      <c r="HU37" s="69"/>
      <c r="HV37" s="69"/>
      <c r="HW37" s="69"/>
      <c r="HX37" s="69"/>
      <c r="HY37" s="69"/>
      <c r="HZ37" s="69"/>
      <c r="IA37" s="69"/>
      <c r="IB37" s="69"/>
      <c r="IC37" s="69"/>
      <c r="ID37" s="69"/>
      <c r="IE37" s="69"/>
      <c r="IF37" s="69"/>
      <c r="IG37" s="69"/>
      <c r="IH37" s="69"/>
      <c r="II37" s="69"/>
      <c r="IJ37" s="69"/>
      <c r="IK37" s="69"/>
      <c r="IL37" s="69"/>
      <c r="IM37" s="69"/>
    </row>
    <row r="38" spans="1:247" x14ac:dyDescent="0.35">
      <c r="A38" s="65" t="str">
        <f t="shared" si="5"/>
        <v/>
      </c>
      <c r="B38" s="68" t="str">
        <f>Stoff!A38</f>
        <v>Pentaklorfenol</v>
      </c>
      <c r="C38" s="67">
        <f t="shared" si="6"/>
        <v>0</v>
      </c>
      <c r="D38" s="55">
        <f t="shared" si="7"/>
        <v>0</v>
      </c>
      <c r="E38" s="55" t="e">
        <f t="shared" si="8"/>
        <v>#DIV/0!</v>
      </c>
      <c r="F38" s="66" t="e">
        <f t="shared" si="9"/>
        <v>#NUM!</v>
      </c>
      <c r="G38" s="56"/>
      <c r="H38" s="56"/>
      <c r="I38" s="56"/>
      <c r="J38" s="56"/>
      <c r="K38" s="56"/>
      <c r="L38" s="56"/>
      <c r="M38" s="56"/>
      <c r="N38" s="56"/>
      <c r="O38" s="56"/>
      <c r="P38" s="56"/>
      <c r="Q38" s="56"/>
      <c r="R38" s="56"/>
      <c r="S38" s="56"/>
      <c r="T38" s="56"/>
      <c r="U38" s="56"/>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69"/>
      <c r="EI38" s="69"/>
      <c r="EJ38" s="69"/>
      <c r="EK38" s="69"/>
      <c r="EL38" s="69"/>
      <c r="EM38" s="69"/>
      <c r="EN38" s="69"/>
      <c r="EO38" s="69"/>
      <c r="EP38" s="69"/>
      <c r="EQ38" s="69"/>
      <c r="ER38" s="69"/>
      <c r="ES38" s="69"/>
      <c r="ET38" s="69"/>
      <c r="EU38" s="69"/>
      <c r="EV38" s="69"/>
      <c r="EW38" s="69"/>
      <c r="EX38" s="69"/>
      <c r="EY38" s="69"/>
      <c r="EZ38" s="69"/>
      <c r="FA38" s="69"/>
    </row>
    <row r="39" spans="1:247" x14ac:dyDescent="0.35">
      <c r="A39" s="65" t="str">
        <f t="shared" si="5"/>
        <v/>
      </c>
      <c r="B39" s="68" t="str">
        <f>Stoff!A39</f>
        <v>PAH totalt</v>
      </c>
      <c r="C39" s="67">
        <f t="shared" si="6"/>
        <v>0</v>
      </c>
      <c r="D39" s="55">
        <f t="shared" si="7"/>
        <v>0</v>
      </c>
      <c r="E39" s="55" t="e">
        <f t="shared" si="8"/>
        <v>#DIV/0!</v>
      </c>
      <c r="F39" s="66" t="e">
        <f t="shared" si="9"/>
        <v>#NUM!</v>
      </c>
      <c r="G39" s="56"/>
      <c r="H39" s="56"/>
      <c r="I39" s="56"/>
      <c r="J39" s="56"/>
      <c r="K39" s="56"/>
      <c r="L39" s="56"/>
      <c r="M39" s="56"/>
      <c r="N39" s="56"/>
      <c r="O39" s="56"/>
      <c r="P39" s="56"/>
      <c r="Q39" s="56"/>
      <c r="R39" s="56"/>
      <c r="S39" s="56"/>
      <c r="T39" s="56"/>
      <c r="U39" s="56"/>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69"/>
      <c r="EI39" s="69"/>
      <c r="EJ39" s="69"/>
      <c r="EK39" s="69"/>
      <c r="EL39" s="69"/>
      <c r="EM39" s="69"/>
      <c r="EN39" s="69"/>
      <c r="EO39" s="69"/>
      <c r="EP39" s="69"/>
      <c r="EQ39" s="69"/>
      <c r="ER39" s="69"/>
      <c r="ES39" s="69"/>
      <c r="ET39" s="69"/>
      <c r="EU39" s="69"/>
      <c r="EV39" s="69"/>
      <c r="EW39" s="69"/>
      <c r="EX39" s="69"/>
      <c r="EY39" s="69"/>
      <c r="EZ39" s="69"/>
      <c r="FA39" s="69"/>
    </row>
    <row r="40" spans="1:247" x14ac:dyDescent="0.35">
      <c r="A40" s="65" t="str">
        <f t="shared" si="5"/>
        <v/>
      </c>
      <c r="B40" s="68" t="str">
        <f>Stoff!A40</f>
        <v>Naftalen</v>
      </c>
      <c r="C40" s="67">
        <f t="shared" si="6"/>
        <v>0</v>
      </c>
      <c r="D40" s="55">
        <f t="shared" si="7"/>
        <v>0</v>
      </c>
      <c r="E40" s="55" t="e">
        <f t="shared" si="8"/>
        <v>#DIV/0!</v>
      </c>
      <c r="F40" s="66" t="e">
        <f t="shared" si="9"/>
        <v>#NUM!</v>
      </c>
      <c r="G40" s="56"/>
      <c r="H40" s="56"/>
      <c r="I40" s="56"/>
      <c r="J40" s="56"/>
      <c r="K40" s="56"/>
      <c r="L40" s="56"/>
      <c r="M40" s="56"/>
      <c r="N40" s="56"/>
      <c r="O40" s="56"/>
      <c r="P40" s="56"/>
      <c r="Q40" s="56"/>
      <c r="R40" s="56"/>
      <c r="S40" s="56"/>
      <c r="T40" s="56"/>
      <c r="U40" s="56"/>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69"/>
      <c r="EI40" s="69"/>
      <c r="EJ40" s="69"/>
      <c r="EK40" s="69"/>
      <c r="EL40" s="69"/>
      <c r="EM40" s="69"/>
      <c r="EN40" s="69"/>
      <c r="EO40" s="69"/>
      <c r="EP40" s="69"/>
      <c r="EQ40" s="69"/>
      <c r="ER40" s="69"/>
      <c r="ES40" s="69"/>
      <c r="ET40" s="69"/>
      <c r="EU40" s="69"/>
      <c r="EV40" s="69"/>
      <c r="EW40" s="69"/>
      <c r="EX40" s="69"/>
      <c r="EY40" s="69"/>
      <c r="EZ40" s="69"/>
      <c r="FA40" s="69"/>
    </row>
    <row r="41" spans="1:247" x14ac:dyDescent="0.35">
      <c r="A41" s="65" t="str">
        <f t="shared" si="5"/>
        <v/>
      </c>
      <c r="B41" s="68" t="str">
        <f>Stoff!A41</f>
        <v>Acenaftalen</v>
      </c>
      <c r="C41" s="67">
        <f t="shared" si="6"/>
        <v>0</v>
      </c>
      <c r="D41" s="55">
        <f t="shared" si="7"/>
        <v>0</v>
      </c>
      <c r="E41" s="55" t="e">
        <f t="shared" si="8"/>
        <v>#DIV/0!</v>
      </c>
      <c r="F41" s="66" t="e">
        <f t="shared" si="9"/>
        <v>#NUM!</v>
      </c>
      <c r="G41" s="56"/>
      <c r="H41" s="56"/>
      <c r="I41" s="56"/>
      <c r="J41" s="56"/>
      <c r="K41" s="56"/>
      <c r="L41" s="56"/>
      <c r="M41" s="56"/>
      <c r="N41" s="56"/>
      <c r="O41" s="56"/>
      <c r="P41" s="56"/>
      <c r="Q41" s="56"/>
      <c r="R41" s="56"/>
      <c r="S41" s="56"/>
      <c r="T41" s="56"/>
      <c r="U41" s="56"/>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69"/>
      <c r="EI41" s="69"/>
      <c r="EJ41" s="69"/>
      <c r="EK41" s="69"/>
      <c r="EL41" s="69"/>
      <c r="EM41" s="69"/>
      <c r="EN41" s="69"/>
      <c r="EO41" s="69"/>
      <c r="EP41" s="69"/>
      <c r="EQ41" s="69"/>
      <c r="ER41" s="69"/>
      <c r="ES41" s="69"/>
      <c r="ET41" s="69"/>
      <c r="EU41" s="69"/>
      <c r="EV41" s="69"/>
      <c r="EW41" s="69"/>
      <c r="EX41" s="69"/>
      <c r="EY41" s="69"/>
      <c r="EZ41" s="69"/>
      <c r="FA41" s="69"/>
    </row>
    <row r="42" spans="1:247" x14ac:dyDescent="0.35">
      <c r="A42" s="65" t="str">
        <f t="shared" si="5"/>
        <v/>
      </c>
      <c r="B42" s="68" t="str">
        <f>Stoff!A42</f>
        <v>Acenaften</v>
      </c>
      <c r="C42" s="67">
        <f t="shared" si="6"/>
        <v>0</v>
      </c>
      <c r="D42" s="55">
        <f t="shared" si="7"/>
        <v>0</v>
      </c>
      <c r="E42" s="55" t="e">
        <f t="shared" si="8"/>
        <v>#DIV/0!</v>
      </c>
      <c r="F42" s="66" t="e">
        <f t="shared" si="9"/>
        <v>#NUM!</v>
      </c>
      <c r="G42" s="56"/>
      <c r="H42" s="56"/>
      <c r="I42" s="56"/>
      <c r="J42" s="56"/>
      <c r="K42" s="56"/>
      <c r="L42" s="56"/>
      <c r="M42" s="56"/>
      <c r="N42" s="56"/>
      <c r="O42" s="56"/>
      <c r="P42" s="56"/>
      <c r="Q42" s="56"/>
      <c r="R42" s="56"/>
      <c r="S42" s="56"/>
      <c r="T42" s="56"/>
      <c r="U42" s="56"/>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c r="BY42" s="56"/>
      <c r="BZ42" s="56"/>
      <c r="CA42" s="56"/>
      <c r="CB42" s="56"/>
      <c r="CC42" s="56"/>
      <c r="CD42" s="56"/>
      <c r="CE42" s="56"/>
      <c r="CF42" s="56"/>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69"/>
      <c r="EI42" s="69"/>
      <c r="EJ42" s="69"/>
      <c r="EK42" s="69"/>
      <c r="EL42" s="69"/>
      <c r="EM42" s="69"/>
      <c r="EN42" s="69"/>
      <c r="EO42" s="69"/>
      <c r="EP42" s="69"/>
      <c r="EQ42" s="69"/>
      <c r="ER42" s="69"/>
      <c r="ES42" s="69"/>
      <c r="ET42" s="69"/>
      <c r="EU42" s="69"/>
      <c r="EV42" s="69"/>
      <c r="EW42" s="69"/>
      <c r="EX42" s="69"/>
      <c r="EY42" s="69"/>
      <c r="EZ42" s="69"/>
      <c r="FA42" s="69"/>
    </row>
    <row r="43" spans="1:247" x14ac:dyDescent="0.35">
      <c r="A43" s="65" t="str">
        <f t="shared" si="5"/>
        <v/>
      </c>
      <c r="B43" s="68" t="str">
        <f>Stoff!A43</f>
        <v>Fenantren</v>
      </c>
      <c r="C43" s="67">
        <f t="shared" si="6"/>
        <v>0</v>
      </c>
      <c r="D43" s="55">
        <f t="shared" si="7"/>
        <v>0</v>
      </c>
      <c r="E43" s="55" t="e">
        <f t="shared" si="8"/>
        <v>#DIV/0!</v>
      </c>
      <c r="F43" s="66" t="e">
        <f t="shared" si="9"/>
        <v>#NUM!</v>
      </c>
      <c r="G43" s="56"/>
      <c r="H43" s="56"/>
      <c r="I43" s="56"/>
      <c r="J43" s="56"/>
      <c r="K43" s="56"/>
      <c r="L43" s="56"/>
      <c r="M43" s="56"/>
      <c r="N43" s="56"/>
      <c r="O43" s="56"/>
      <c r="P43" s="56"/>
      <c r="Q43" s="56"/>
      <c r="R43" s="56"/>
      <c r="S43" s="56"/>
      <c r="T43" s="56"/>
      <c r="U43" s="56"/>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69"/>
      <c r="EI43" s="69"/>
      <c r="EJ43" s="69"/>
      <c r="EK43" s="69"/>
      <c r="EL43" s="69"/>
      <c r="EM43" s="69"/>
      <c r="EN43" s="69"/>
      <c r="EO43" s="69"/>
      <c r="EP43" s="69"/>
      <c r="EQ43" s="69"/>
      <c r="ER43" s="69"/>
      <c r="ES43" s="69"/>
      <c r="ET43" s="69"/>
      <c r="EU43" s="69"/>
      <c r="EV43" s="69"/>
      <c r="EW43" s="69"/>
      <c r="EX43" s="69"/>
      <c r="EY43" s="69"/>
      <c r="EZ43" s="69"/>
      <c r="FA43" s="69"/>
    </row>
    <row r="44" spans="1:247" x14ac:dyDescent="0.35">
      <c r="A44" s="65" t="str">
        <f t="shared" si="5"/>
        <v/>
      </c>
      <c r="B44" s="68" t="str">
        <f>Stoff!A44</f>
        <v>Antracen</v>
      </c>
      <c r="C44" s="67">
        <f t="shared" si="6"/>
        <v>0</v>
      </c>
      <c r="D44" s="55">
        <f t="shared" si="7"/>
        <v>0</v>
      </c>
      <c r="E44" s="55" t="e">
        <f t="shared" si="8"/>
        <v>#DIV/0!</v>
      </c>
      <c r="F44" s="66" t="e">
        <f t="shared" si="9"/>
        <v>#NUM!</v>
      </c>
      <c r="G44" s="56"/>
      <c r="H44" s="56"/>
      <c r="I44" s="56"/>
      <c r="J44" s="56"/>
      <c r="K44" s="56"/>
      <c r="L44" s="56"/>
      <c r="M44" s="56"/>
      <c r="N44" s="56"/>
      <c r="O44" s="56"/>
      <c r="P44" s="56"/>
      <c r="Q44" s="56"/>
      <c r="R44" s="56"/>
      <c r="S44" s="56"/>
      <c r="T44" s="56"/>
      <c r="U44" s="56"/>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69"/>
      <c r="EI44" s="69"/>
      <c r="EJ44" s="69"/>
      <c r="EK44" s="69"/>
      <c r="EL44" s="69"/>
      <c r="EM44" s="69"/>
      <c r="EN44" s="69"/>
      <c r="EO44" s="69"/>
      <c r="EP44" s="69"/>
      <c r="EQ44" s="69"/>
      <c r="ER44" s="69"/>
      <c r="ES44" s="69"/>
      <c r="ET44" s="69"/>
      <c r="EU44" s="69"/>
      <c r="EV44" s="69"/>
      <c r="EW44" s="69"/>
      <c r="EX44" s="69"/>
      <c r="EY44" s="69"/>
      <c r="EZ44" s="69"/>
      <c r="FA44" s="69"/>
    </row>
    <row r="45" spans="1:247" x14ac:dyDescent="0.35">
      <c r="A45" s="65" t="str">
        <f t="shared" si="5"/>
        <v/>
      </c>
      <c r="B45" s="68" t="str">
        <f>Stoff!A45</f>
        <v>Fluoren</v>
      </c>
      <c r="C45" s="67">
        <f t="shared" si="6"/>
        <v>0</v>
      </c>
      <c r="D45" s="55">
        <f t="shared" si="7"/>
        <v>0</v>
      </c>
      <c r="E45" s="55" t="e">
        <f t="shared" si="8"/>
        <v>#DIV/0!</v>
      </c>
      <c r="F45" s="66" t="e">
        <f t="shared" si="9"/>
        <v>#NUM!</v>
      </c>
      <c r="G45" s="56"/>
      <c r="H45" s="56"/>
      <c r="I45" s="56"/>
      <c r="J45" s="56"/>
      <c r="K45" s="56"/>
      <c r="L45" s="56"/>
      <c r="M45" s="56"/>
      <c r="N45" s="56"/>
      <c r="O45" s="56"/>
      <c r="P45" s="56"/>
      <c r="Q45" s="56"/>
      <c r="R45" s="56"/>
      <c r="S45" s="56"/>
      <c r="T45" s="56"/>
      <c r="U45" s="56"/>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69"/>
      <c r="EI45" s="69"/>
      <c r="EJ45" s="69"/>
      <c r="EK45" s="69"/>
      <c r="EL45" s="69"/>
      <c r="EM45" s="69"/>
      <c r="EN45" s="69"/>
      <c r="EO45" s="69"/>
      <c r="EP45" s="69"/>
      <c r="EQ45" s="69"/>
      <c r="ER45" s="69"/>
      <c r="ES45" s="69"/>
      <c r="ET45" s="69"/>
      <c r="EU45" s="69"/>
      <c r="EV45" s="69"/>
      <c r="EW45" s="69"/>
      <c r="EX45" s="69"/>
      <c r="EY45" s="69"/>
      <c r="EZ45" s="69"/>
      <c r="FA45" s="69"/>
    </row>
    <row r="46" spans="1:247" x14ac:dyDescent="0.35">
      <c r="A46" s="65" t="str">
        <f t="shared" si="5"/>
        <v/>
      </c>
      <c r="B46" s="68" t="str">
        <f>Stoff!A46</f>
        <v>Fluoranten</v>
      </c>
      <c r="C46" s="67">
        <f t="shared" si="6"/>
        <v>0</v>
      </c>
      <c r="D46" s="55">
        <f t="shared" si="7"/>
        <v>0</v>
      </c>
      <c r="E46" s="55" t="e">
        <f t="shared" si="8"/>
        <v>#DIV/0!</v>
      </c>
      <c r="F46" s="66" t="e">
        <f t="shared" si="9"/>
        <v>#NUM!</v>
      </c>
      <c r="G46" s="56"/>
      <c r="H46" s="56"/>
      <c r="I46" s="56"/>
      <c r="J46" s="56"/>
      <c r="K46" s="56"/>
      <c r="L46" s="56"/>
      <c r="M46" s="56"/>
      <c r="N46" s="56"/>
      <c r="O46" s="56"/>
      <c r="P46" s="56"/>
      <c r="Q46" s="56"/>
      <c r="R46" s="56"/>
      <c r="S46" s="56"/>
      <c r="T46" s="56"/>
      <c r="U46" s="56"/>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69"/>
      <c r="EI46" s="69"/>
      <c r="EJ46" s="69"/>
      <c r="EK46" s="69"/>
      <c r="EL46" s="69"/>
      <c r="EM46" s="69"/>
      <c r="EN46" s="69"/>
      <c r="EO46" s="69"/>
      <c r="EP46" s="69"/>
      <c r="EQ46" s="69"/>
      <c r="ER46" s="69"/>
      <c r="ES46" s="69"/>
      <c r="ET46" s="69"/>
      <c r="EU46" s="69"/>
      <c r="EV46" s="69"/>
      <c r="EW46" s="69"/>
      <c r="EX46" s="69"/>
      <c r="EY46" s="69"/>
      <c r="EZ46" s="69"/>
      <c r="FA46" s="69"/>
    </row>
    <row r="47" spans="1:247" x14ac:dyDescent="0.35">
      <c r="A47" s="65" t="str">
        <f t="shared" si="5"/>
        <v/>
      </c>
      <c r="B47" s="68" t="str">
        <f>Stoff!A47</f>
        <v>Pyrene</v>
      </c>
      <c r="C47" s="67">
        <f t="shared" si="6"/>
        <v>0</v>
      </c>
      <c r="D47" s="55">
        <f t="shared" si="7"/>
        <v>0</v>
      </c>
      <c r="E47" s="55" t="e">
        <f t="shared" si="8"/>
        <v>#DIV/0!</v>
      </c>
      <c r="F47" s="66" t="e">
        <f t="shared" si="9"/>
        <v>#NUM!</v>
      </c>
      <c r="G47" s="56"/>
      <c r="H47" s="56"/>
      <c r="I47" s="56"/>
      <c r="J47" s="56"/>
      <c r="K47" s="56"/>
      <c r="L47" s="56"/>
      <c r="M47" s="56"/>
      <c r="N47" s="56"/>
      <c r="O47" s="56"/>
      <c r="P47" s="56"/>
      <c r="Q47" s="56"/>
      <c r="R47" s="56"/>
      <c r="S47" s="56"/>
      <c r="T47" s="56"/>
      <c r="U47" s="56"/>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69"/>
      <c r="EI47" s="69"/>
      <c r="EJ47" s="69"/>
      <c r="EK47" s="69"/>
      <c r="EL47" s="69"/>
      <c r="EM47" s="69"/>
      <c r="EN47" s="69"/>
      <c r="EO47" s="69"/>
      <c r="EP47" s="69"/>
      <c r="EQ47" s="69"/>
      <c r="ER47" s="69"/>
      <c r="ES47" s="69"/>
      <c r="ET47" s="69"/>
      <c r="EU47" s="69"/>
      <c r="EV47" s="69"/>
      <c r="EW47" s="69"/>
      <c r="EX47" s="69"/>
      <c r="EY47" s="69"/>
      <c r="EZ47" s="69"/>
      <c r="FA47" s="69"/>
    </row>
    <row r="48" spans="1:247" x14ac:dyDescent="0.35">
      <c r="A48" s="65" t="str">
        <f t="shared" si="5"/>
        <v/>
      </c>
      <c r="B48" s="68" t="str">
        <f>Stoff!A48</f>
        <v>Benzo(a)antracen</v>
      </c>
      <c r="C48" s="67">
        <f t="shared" si="6"/>
        <v>0</v>
      </c>
      <c r="D48" s="55">
        <f t="shared" si="7"/>
        <v>0</v>
      </c>
      <c r="E48" s="55" t="e">
        <f t="shared" si="8"/>
        <v>#DIV/0!</v>
      </c>
      <c r="F48" s="66" t="e">
        <f t="shared" si="9"/>
        <v>#NUM!</v>
      </c>
      <c r="G48" s="56"/>
      <c r="H48" s="56"/>
      <c r="I48" s="56"/>
      <c r="J48" s="56"/>
      <c r="K48" s="56"/>
      <c r="L48" s="56"/>
      <c r="M48" s="56"/>
      <c r="N48" s="56"/>
      <c r="O48" s="56"/>
      <c r="P48" s="56"/>
      <c r="Q48" s="56"/>
      <c r="R48" s="56"/>
      <c r="S48" s="56"/>
      <c r="T48" s="56"/>
      <c r="U48" s="56"/>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69"/>
      <c r="EI48" s="69"/>
      <c r="EJ48" s="69"/>
      <c r="EK48" s="69"/>
      <c r="EL48" s="69"/>
      <c r="EM48" s="69"/>
      <c r="EN48" s="69"/>
      <c r="EO48" s="69"/>
      <c r="EP48" s="69"/>
      <c r="EQ48" s="69"/>
      <c r="ER48" s="69"/>
      <c r="ES48" s="69"/>
      <c r="ET48" s="69"/>
      <c r="EU48" s="69"/>
      <c r="EV48" s="69"/>
      <c r="EW48" s="69"/>
      <c r="EX48" s="69"/>
      <c r="EY48" s="69"/>
      <c r="EZ48" s="69"/>
      <c r="FA48" s="69"/>
    </row>
    <row r="49" spans="1:157" x14ac:dyDescent="0.35">
      <c r="A49" s="65" t="str">
        <f t="shared" si="5"/>
        <v/>
      </c>
      <c r="B49" s="68" t="str">
        <f>Stoff!A49</f>
        <v>Krysen</v>
      </c>
      <c r="C49" s="67">
        <f t="shared" si="6"/>
        <v>0</v>
      </c>
      <c r="D49" s="55">
        <f t="shared" si="7"/>
        <v>0</v>
      </c>
      <c r="E49" s="55" t="e">
        <f t="shared" si="8"/>
        <v>#DIV/0!</v>
      </c>
      <c r="F49" s="66" t="e">
        <f t="shared" si="9"/>
        <v>#NUM!</v>
      </c>
      <c r="G49" s="56"/>
      <c r="H49" s="56"/>
      <c r="I49" s="56"/>
      <c r="J49" s="56"/>
      <c r="K49" s="56"/>
      <c r="L49" s="56"/>
      <c r="M49" s="56"/>
      <c r="N49" s="56"/>
      <c r="O49" s="56"/>
      <c r="P49" s="56"/>
      <c r="Q49" s="56"/>
      <c r="R49" s="56"/>
      <c r="S49" s="56"/>
      <c r="T49" s="56"/>
      <c r="U49" s="56"/>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69"/>
      <c r="EI49" s="69"/>
      <c r="EJ49" s="69"/>
      <c r="EK49" s="69"/>
      <c r="EL49" s="69"/>
      <c r="EM49" s="69"/>
      <c r="EN49" s="69"/>
      <c r="EO49" s="69"/>
      <c r="EP49" s="69"/>
      <c r="EQ49" s="69"/>
      <c r="ER49" s="69"/>
      <c r="ES49" s="69"/>
      <c r="ET49" s="69"/>
      <c r="EU49" s="69"/>
      <c r="EV49" s="69"/>
      <c r="EW49" s="69"/>
      <c r="EX49" s="69"/>
      <c r="EY49" s="69"/>
      <c r="EZ49" s="69"/>
      <c r="FA49" s="69"/>
    </row>
    <row r="50" spans="1:157" x14ac:dyDescent="0.35">
      <c r="A50" s="65" t="str">
        <f t="shared" si="5"/>
        <v/>
      </c>
      <c r="B50" s="68" t="str">
        <f>Stoff!A50</f>
        <v>Benzo(b)fluoranten</v>
      </c>
      <c r="C50" s="67">
        <f t="shared" si="6"/>
        <v>0</v>
      </c>
      <c r="D50" s="55">
        <f t="shared" si="7"/>
        <v>0</v>
      </c>
      <c r="E50" s="55" t="e">
        <f t="shared" si="8"/>
        <v>#DIV/0!</v>
      </c>
      <c r="F50" s="66" t="e">
        <f t="shared" si="9"/>
        <v>#NUM!</v>
      </c>
      <c r="G50" s="56"/>
      <c r="H50" s="56"/>
      <c r="I50" s="56"/>
      <c r="J50" s="56"/>
      <c r="K50" s="56"/>
      <c r="L50" s="56"/>
      <c r="M50" s="56"/>
      <c r="N50" s="56"/>
      <c r="O50" s="56"/>
      <c r="P50" s="56"/>
      <c r="Q50" s="56"/>
      <c r="R50" s="56"/>
      <c r="S50" s="56"/>
      <c r="T50" s="56"/>
      <c r="U50" s="56"/>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69"/>
      <c r="EI50" s="69"/>
      <c r="EJ50" s="69"/>
      <c r="EK50" s="69"/>
      <c r="EL50" s="69"/>
      <c r="EM50" s="69"/>
      <c r="EN50" s="69"/>
      <c r="EO50" s="69"/>
      <c r="EP50" s="69"/>
      <c r="EQ50" s="69"/>
      <c r="ER50" s="69"/>
      <c r="ES50" s="69"/>
      <c r="ET50" s="69"/>
      <c r="EU50" s="69"/>
      <c r="EV50" s="69"/>
      <c r="EW50" s="69"/>
      <c r="EX50" s="69"/>
      <c r="EY50" s="69"/>
      <c r="EZ50" s="69"/>
      <c r="FA50" s="69"/>
    </row>
    <row r="51" spans="1:157" x14ac:dyDescent="0.35">
      <c r="A51" s="65" t="str">
        <f t="shared" si="5"/>
        <v/>
      </c>
      <c r="B51" s="68" t="str">
        <f>Stoff!A51</f>
        <v>Benzo(k)fluoranten</v>
      </c>
      <c r="C51" s="67">
        <f t="shared" si="6"/>
        <v>0</v>
      </c>
      <c r="D51" s="55">
        <f t="shared" si="7"/>
        <v>0</v>
      </c>
      <c r="E51" s="55" t="e">
        <f t="shared" si="8"/>
        <v>#DIV/0!</v>
      </c>
      <c r="F51" s="66" t="e">
        <f t="shared" si="9"/>
        <v>#NUM!</v>
      </c>
      <c r="G51" s="56"/>
      <c r="H51" s="56"/>
      <c r="I51" s="56"/>
      <c r="J51" s="56"/>
      <c r="K51" s="56"/>
      <c r="L51" s="56"/>
      <c r="M51" s="56"/>
      <c r="N51" s="56"/>
      <c r="O51" s="56"/>
      <c r="P51" s="56"/>
      <c r="Q51" s="56"/>
      <c r="R51" s="56"/>
      <c r="S51" s="56"/>
      <c r="T51" s="56"/>
      <c r="U51" s="56"/>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69"/>
      <c r="EI51" s="69"/>
      <c r="EJ51" s="69"/>
      <c r="EK51" s="69"/>
      <c r="EL51" s="69"/>
      <c r="EM51" s="69"/>
      <c r="EN51" s="69"/>
      <c r="EO51" s="69"/>
      <c r="EP51" s="69"/>
      <c r="EQ51" s="69"/>
      <c r="ER51" s="69"/>
      <c r="ES51" s="69"/>
      <c r="ET51" s="69"/>
      <c r="EU51" s="69"/>
      <c r="EV51" s="69"/>
      <c r="EW51" s="69"/>
      <c r="EX51" s="69"/>
      <c r="EY51" s="69"/>
      <c r="EZ51" s="69"/>
      <c r="FA51" s="69"/>
    </row>
    <row r="52" spans="1:157" x14ac:dyDescent="0.35">
      <c r="A52" s="65" t="str">
        <f t="shared" si="5"/>
        <v/>
      </c>
      <c r="B52" s="68" t="str">
        <f>Stoff!A52</f>
        <v>Benso(a)pyren</v>
      </c>
      <c r="C52" s="67">
        <f t="shared" si="6"/>
        <v>0</v>
      </c>
      <c r="D52" s="55">
        <f t="shared" si="7"/>
        <v>0</v>
      </c>
      <c r="E52" s="55" t="e">
        <f t="shared" si="8"/>
        <v>#DIV/0!</v>
      </c>
      <c r="F52" s="66" t="e">
        <f t="shared" si="9"/>
        <v>#NUM!</v>
      </c>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row>
    <row r="53" spans="1:157" x14ac:dyDescent="0.35">
      <c r="A53" s="65" t="str">
        <f t="shared" si="5"/>
        <v/>
      </c>
      <c r="B53" s="68" t="str">
        <f>Stoff!A53</f>
        <v>Indeno(1,2,3-cd)pyren</v>
      </c>
      <c r="C53" s="67">
        <f t="shared" si="6"/>
        <v>0</v>
      </c>
      <c r="D53" s="55">
        <f t="shared" si="7"/>
        <v>0</v>
      </c>
      <c r="E53" s="55" t="e">
        <f t="shared" si="8"/>
        <v>#DIV/0!</v>
      </c>
      <c r="F53" s="66" t="e">
        <f t="shared" si="9"/>
        <v>#NUM!</v>
      </c>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row>
    <row r="54" spans="1:157" x14ac:dyDescent="0.35">
      <c r="A54" s="65" t="str">
        <f t="shared" si="5"/>
        <v/>
      </c>
      <c r="B54" s="68" t="str">
        <f>Stoff!A54</f>
        <v>Dibenzo(a,h)antracen</v>
      </c>
      <c r="C54" s="67">
        <f t="shared" si="6"/>
        <v>0</v>
      </c>
      <c r="D54" s="55">
        <f t="shared" si="7"/>
        <v>0</v>
      </c>
      <c r="E54" s="55" t="e">
        <f t="shared" si="8"/>
        <v>#DIV/0!</v>
      </c>
      <c r="F54" s="66" t="e">
        <f t="shared" si="9"/>
        <v>#NUM!</v>
      </c>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L54" s="56"/>
      <c r="CM54" s="56"/>
      <c r="CN54" s="56"/>
      <c r="CO54" s="56"/>
      <c r="CP54" s="56"/>
      <c r="CQ54" s="56"/>
      <c r="CR54" s="56"/>
      <c r="CS54" s="56"/>
      <c r="CT54" s="56"/>
      <c r="CU54" s="56"/>
      <c r="CV54" s="56"/>
      <c r="CW54" s="56"/>
      <c r="CX54" s="56"/>
      <c r="CY54" s="56"/>
      <c r="CZ54" s="56"/>
      <c r="DA54" s="56"/>
      <c r="DB54" s="56"/>
      <c r="DC54" s="56"/>
      <c r="DD54" s="56"/>
      <c r="DE54" s="56"/>
      <c r="DF54" s="56"/>
      <c r="DG54" s="56"/>
      <c r="DH54" s="56"/>
      <c r="DI54" s="56"/>
      <c r="DJ54" s="56"/>
      <c r="DK54" s="56"/>
      <c r="DL54" s="56"/>
      <c r="DM54" s="56"/>
      <c r="DN54" s="56"/>
      <c r="DO54" s="56"/>
      <c r="DP54" s="56"/>
      <c r="DQ54" s="56"/>
      <c r="DR54" s="56"/>
      <c r="DS54" s="56"/>
      <c r="DT54" s="56"/>
      <c r="DU54" s="56"/>
      <c r="DV54" s="56"/>
      <c r="DW54" s="56"/>
      <c r="DX54" s="56"/>
      <c r="DY54" s="56"/>
      <c r="DZ54" s="56"/>
      <c r="EA54" s="56"/>
      <c r="EB54" s="56"/>
      <c r="EC54" s="56"/>
      <c r="ED54" s="56"/>
      <c r="EE54" s="56"/>
      <c r="EF54" s="56"/>
      <c r="EG54" s="56"/>
      <c r="EH54" s="56"/>
      <c r="EI54" s="56"/>
      <c r="EJ54" s="56"/>
      <c r="EK54" s="56"/>
      <c r="EL54" s="56"/>
      <c r="EM54" s="56"/>
      <c r="EN54" s="56"/>
      <c r="EO54" s="56"/>
      <c r="EP54" s="56"/>
      <c r="EQ54" s="56"/>
      <c r="ER54" s="56"/>
      <c r="ES54" s="56"/>
      <c r="ET54" s="56"/>
      <c r="EU54" s="56"/>
      <c r="EV54" s="56"/>
      <c r="EW54" s="56"/>
      <c r="EX54" s="56"/>
      <c r="EY54" s="56"/>
      <c r="EZ54" s="56"/>
      <c r="FA54" s="56"/>
    </row>
    <row r="55" spans="1:157" x14ac:dyDescent="0.35">
      <c r="A55" s="65" t="str">
        <f t="shared" si="5"/>
        <v/>
      </c>
      <c r="B55" s="68" t="str">
        <f>Stoff!A55</f>
        <v>Benzo(g,h,i)perylen</v>
      </c>
      <c r="C55" s="67">
        <f t="shared" si="6"/>
        <v>0</v>
      </c>
      <c r="D55" s="55">
        <f t="shared" si="7"/>
        <v>0</v>
      </c>
      <c r="E55" s="55" t="e">
        <f t="shared" si="8"/>
        <v>#DIV/0!</v>
      </c>
      <c r="F55" s="66" t="e">
        <f t="shared" si="9"/>
        <v>#NUM!</v>
      </c>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L55" s="56"/>
      <c r="CM55" s="56"/>
      <c r="CN55" s="56"/>
      <c r="CO55" s="56"/>
      <c r="CP55" s="56"/>
      <c r="CQ55" s="56"/>
      <c r="CR55" s="56"/>
      <c r="CS55" s="56"/>
      <c r="CT55" s="56"/>
      <c r="CU55" s="56"/>
      <c r="CV55" s="56"/>
      <c r="CW55" s="56"/>
      <c r="CX55" s="56"/>
      <c r="CY55" s="56"/>
      <c r="CZ55" s="56"/>
      <c r="DA55" s="56"/>
      <c r="DB55" s="56"/>
      <c r="DC55" s="56"/>
      <c r="DD55" s="56"/>
      <c r="DE55" s="56"/>
      <c r="DF55" s="56"/>
      <c r="DG55" s="56"/>
      <c r="DH55" s="56"/>
      <c r="DI55" s="56"/>
      <c r="DJ55" s="56"/>
      <c r="DK55" s="56"/>
      <c r="DL55" s="56"/>
      <c r="DM55" s="56"/>
      <c r="DN55" s="56"/>
      <c r="DO55" s="56"/>
      <c r="DP55" s="56"/>
      <c r="DQ55" s="56"/>
      <c r="DR55" s="56"/>
      <c r="DS55" s="56"/>
      <c r="DT55" s="56"/>
      <c r="DU55" s="56"/>
      <c r="DV55" s="56"/>
      <c r="DW55" s="56"/>
      <c r="DX55" s="56"/>
      <c r="DY55" s="56"/>
      <c r="DZ55" s="56"/>
      <c r="EA55" s="56"/>
      <c r="EB55" s="56"/>
      <c r="EC55" s="56"/>
      <c r="ED55" s="56"/>
      <c r="EE55" s="56"/>
      <c r="EF55" s="56"/>
      <c r="EG55" s="56"/>
      <c r="EH55" s="56"/>
      <c r="EI55" s="56"/>
      <c r="EJ55" s="56"/>
      <c r="EK55" s="56"/>
      <c r="EL55" s="56"/>
      <c r="EM55" s="56"/>
      <c r="EN55" s="56"/>
      <c r="EO55" s="56"/>
      <c r="EP55" s="56"/>
      <c r="EQ55" s="56"/>
      <c r="ER55" s="56"/>
      <c r="ES55" s="56"/>
      <c r="ET55" s="56"/>
      <c r="EU55" s="56"/>
      <c r="EV55" s="56"/>
      <c r="EW55" s="56"/>
      <c r="EX55" s="56"/>
      <c r="EY55" s="56"/>
      <c r="EZ55" s="56"/>
      <c r="FA55" s="56"/>
    </row>
    <row r="56" spans="1:157" x14ac:dyDescent="0.35">
      <c r="A56" s="65" t="str">
        <f t="shared" si="5"/>
        <v/>
      </c>
      <c r="B56" s="68" t="str">
        <f>Stoff!A56</f>
        <v>Bensen</v>
      </c>
      <c r="C56" s="67">
        <f t="shared" si="6"/>
        <v>0</v>
      </c>
      <c r="D56" s="55">
        <f t="shared" si="7"/>
        <v>0</v>
      </c>
      <c r="E56" s="55" t="e">
        <f t="shared" si="8"/>
        <v>#DIV/0!</v>
      </c>
      <c r="F56" s="66" t="e">
        <f t="shared" si="9"/>
        <v>#NUM!</v>
      </c>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L56" s="56"/>
      <c r="CM56" s="56"/>
      <c r="CN56" s="56"/>
      <c r="CO56" s="56"/>
      <c r="CP56" s="56"/>
      <c r="CQ56" s="56"/>
      <c r="CR56" s="56"/>
      <c r="CS56" s="56"/>
      <c r="CT56" s="56"/>
      <c r="CU56" s="56"/>
      <c r="CV56" s="56"/>
      <c r="CW56" s="56"/>
      <c r="CX56" s="56"/>
      <c r="CY56" s="56"/>
      <c r="CZ56" s="56"/>
      <c r="DA56" s="56"/>
      <c r="DB56" s="56"/>
      <c r="DC56" s="56"/>
      <c r="DD56" s="56"/>
      <c r="DE56" s="56"/>
      <c r="DF56" s="56"/>
      <c r="DG56" s="56"/>
      <c r="DH56" s="56"/>
      <c r="DI56" s="56"/>
      <c r="DJ56" s="56"/>
      <c r="DK56" s="56"/>
      <c r="DL56" s="56"/>
      <c r="DM56" s="56"/>
      <c r="DN56" s="56"/>
      <c r="DO56" s="56"/>
      <c r="DP56" s="56"/>
      <c r="DQ56" s="56"/>
      <c r="DR56" s="56"/>
      <c r="DS56" s="56"/>
      <c r="DT56" s="56"/>
      <c r="DU56" s="56"/>
      <c r="DV56" s="56"/>
      <c r="DW56" s="56"/>
      <c r="DX56" s="56"/>
      <c r="DY56" s="56"/>
      <c r="DZ56" s="56"/>
      <c r="EA56" s="56"/>
      <c r="EB56" s="56"/>
      <c r="EC56" s="56"/>
      <c r="ED56" s="56"/>
      <c r="EE56" s="56"/>
      <c r="EF56" s="56"/>
      <c r="EG56" s="56"/>
      <c r="EH56" s="56"/>
      <c r="EI56" s="56"/>
      <c r="EJ56" s="56"/>
      <c r="EK56" s="56"/>
      <c r="EL56" s="56"/>
      <c r="EM56" s="56"/>
      <c r="EN56" s="56"/>
      <c r="EO56" s="56"/>
      <c r="EP56" s="56"/>
      <c r="EQ56" s="56"/>
      <c r="ER56" s="56"/>
      <c r="ES56" s="56"/>
      <c r="ET56" s="56"/>
      <c r="EU56" s="56"/>
      <c r="EV56" s="56"/>
      <c r="EW56" s="56"/>
      <c r="EX56" s="56"/>
      <c r="EY56" s="56"/>
      <c r="EZ56" s="56"/>
      <c r="FA56" s="56"/>
    </row>
    <row r="57" spans="1:157" x14ac:dyDescent="0.35">
      <c r="A57" s="65" t="str">
        <f t="shared" si="5"/>
        <v/>
      </c>
      <c r="B57" s="68" t="str">
        <f>Stoff!A57</f>
        <v>Toluen</v>
      </c>
      <c r="C57" s="67">
        <f t="shared" si="6"/>
        <v>0</v>
      </c>
      <c r="D57" s="55">
        <f t="shared" si="7"/>
        <v>0</v>
      </c>
      <c r="E57" s="55" t="e">
        <f t="shared" si="8"/>
        <v>#DIV/0!</v>
      </c>
      <c r="F57" s="66" t="e">
        <f t="shared" si="9"/>
        <v>#NUM!</v>
      </c>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row>
    <row r="58" spans="1:157" x14ac:dyDescent="0.35">
      <c r="A58" s="65" t="str">
        <f t="shared" si="5"/>
        <v/>
      </c>
      <c r="B58" s="68" t="str">
        <f>Stoff!A58</f>
        <v>Etylbensen</v>
      </c>
      <c r="C58" s="67">
        <f t="shared" si="6"/>
        <v>0</v>
      </c>
      <c r="D58" s="55">
        <f t="shared" si="7"/>
        <v>0</v>
      </c>
      <c r="E58" s="55" t="e">
        <f t="shared" si="8"/>
        <v>#DIV/0!</v>
      </c>
      <c r="F58" s="66" t="e">
        <f t="shared" si="9"/>
        <v>#NUM!</v>
      </c>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L58" s="56"/>
      <c r="CM58" s="56"/>
      <c r="CN58" s="56"/>
      <c r="CO58" s="56"/>
      <c r="CP58" s="56"/>
      <c r="CQ58" s="56"/>
      <c r="CR58" s="56"/>
      <c r="CS58" s="56"/>
      <c r="CT58" s="56"/>
      <c r="CU58" s="56"/>
      <c r="CV58" s="56"/>
      <c r="CW58" s="56"/>
      <c r="CX58" s="56"/>
      <c r="CY58" s="56"/>
      <c r="CZ58" s="56"/>
      <c r="DA58" s="56"/>
      <c r="DB58" s="56"/>
      <c r="DC58" s="56"/>
      <c r="DD58" s="56"/>
      <c r="DE58" s="56"/>
      <c r="DF58" s="56"/>
      <c r="DG58" s="56"/>
      <c r="DH58" s="56"/>
      <c r="DI58" s="56"/>
      <c r="DJ58" s="56"/>
      <c r="DK58" s="56"/>
      <c r="DL58" s="56"/>
      <c r="DM58" s="56"/>
      <c r="DN58" s="56"/>
      <c r="DO58" s="56"/>
      <c r="DP58" s="56"/>
      <c r="DQ58" s="56"/>
      <c r="DR58" s="56"/>
      <c r="DS58" s="56"/>
      <c r="DT58" s="56"/>
      <c r="DU58" s="56"/>
      <c r="DV58" s="56"/>
      <c r="DW58" s="56"/>
      <c r="DX58" s="56"/>
      <c r="DY58" s="56"/>
      <c r="DZ58" s="56"/>
      <c r="EA58" s="56"/>
      <c r="EB58" s="56"/>
      <c r="EC58" s="56"/>
      <c r="ED58" s="56"/>
      <c r="EE58" s="56"/>
      <c r="EF58" s="56"/>
      <c r="EG58" s="56"/>
      <c r="EH58" s="56"/>
      <c r="EI58" s="56"/>
      <c r="EJ58" s="56"/>
      <c r="EK58" s="56"/>
      <c r="EL58" s="56"/>
      <c r="EM58" s="56"/>
      <c r="EN58" s="56"/>
      <c r="EO58" s="56"/>
      <c r="EP58" s="56"/>
      <c r="EQ58" s="56"/>
      <c r="ER58" s="56"/>
      <c r="ES58" s="56"/>
      <c r="ET58" s="56"/>
      <c r="EU58" s="56"/>
      <c r="EV58" s="56"/>
      <c r="EW58" s="56"/>
      <c r="EX58" s="56"/>
      <c r="EY58" s="56"/>
      <c r="EZ58" s="56"/>
      <c r="FA58" s="56"/>
    </row>
    <row r="59" spans="1:157" x14ac:dyDescent="0.35">
      <c r="A59" s="65" t="str">
        <f t="shared" si="5"/>
        <v/>
      </c>
      <c r="B59" s="68" t="str">
        <f>Stoff!A59</f>
        <v>Xylen</v>
      </c>
      <c r="C59" s="67">
        <f t="shared" si="6"/>
        <v>0</v>
      </c>
      <c r="D59" s="55">
        <f t="shared" si="7"/>
        <v>0</v>
      </c>
      <c r="E59" s="55" t="e">
        <f t="shared" si="8"/>
        <v>#DIV/0!</v>
      </c>
      <c r="F59" s="66" t="e">
        <f t="shared" si="9"/>
        <v>#NUM!</v>
      </c>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L59" s="56"/>
      <c r="CM59" s="56"/>
      <c r="CN59" s="56"/>
      <c r="CO59" s="56"/>
      <c r="CP59" s="56"/>
      <c r="CQ59" s="56"/>
      <c r="CR59" s="56"/>
      <c r="CS59" s="56"/>
      <c r="CT59" s="56"/>
      <c r="CU59" s="56"/>
      <c r="CV59" s="56"/>
      <c r="CW59" s="56"/>
      <c r="CX59" s="56"/>
      <c r="CY59" s="56"/>
      <c r="CZ59" s="56"/>
      <c r="DA59" s="56"/>
      <c r="DB59" s="56"/>
      <c r="DC59" s="56"/>
      <c r="DD59" s="56"/>
      <c r="DE59" s="56"/>
      <c r="DF59" s="56"/>
      <c r="DG59" s="56"/>
      <c r="DH59" s="56"/>
      <c r="DI59" s="56"/>
      <c r="DJ59" s="56"/>
      <c r="DK59" s="56"/>
      <c r="DL59" s="56"/>
      <c r="DM59" s="56"/>
      <c r="DN59" s="56"/>
      <c r="DO59" s="56"/>
      <c r="DP59" s="56"/>
      <c r="DQ59" s="56"/>
      <c r="DR59" s="56"/>
      <c r="DS59" s="56"/>
      <c r="DT59" s="56"/>
      <c r="DU59" s="56"/>
      <c r="DV59" s="56"/>
      <c r="DW59" s="56"/>
      <c r="DX59" s="56"/>
      <c r="DY59" s="56"/>
      <c r="DZ59" s="56"/>
      <c r="EA59" s="56"/>
      <c r="EB59" s="56"/>
      <c r="EC59" s="56"/>
      <c r="ED59" s="56"/>
      <c r="EE59" s="56"/>
      <c r="EF59" s="56"/>
      <c r="EG59" s="56"/>
      <c r="EH59" s="56"/>
      <c r="EI59" s="56"/>
      <c r="EJ59" s="56"/>
      <c r="EK59" s="56"/>
      <c r="EL59" s="56"/>
      <c r="EM59" s="56"/>
      <c r="EN59" s="56"/>
      <c r="EO59" s="56"/>
      <c r="EP59" s="56"/>
      <c r="EQ59" s="56"/>
      <c r="ER59" s="56"/>
      <c r="ES59" s="56"/>
      <c r="ET59" s="56"/>
      <c r="EU59" s="56"/>
      <c r="EV59" s="56"/>
      <c r="EW59" s="56"/>
      <c r="EX59" s="56"/>
      <c r="EY59" s="56"/>
      <c r="EZ59" s="56"/>
      <c r="FA59" s="56"/>
    </row>
    <row r="60" spans="1:157" x14ac:dyDescent="0.35">
      <c r="A60" s="65" t="str">
        <f t="shared" si="5"/>
        <v/>
      </c>
      <c r="B60" s="68" t="str">
        <f>Stoff!A60</f>
        <v>Alifater  C5-C6</v>
      </c>
      <c r="C60" s="67">
        <f t="shared" si="6"/>
        <v>0</v>
      </c>
      <c r="D60" s="55">
        <f t="shared" si="7"/>
        <v>0</v>
      </c>
      <c r="E60" s="55" t="e">
        <f t="shared" si="8"/>
        <v>#DIV/0!</v>
      </c>
      <c r="F60" s="66" t="e">
        <f t="shared" si="9"/>
        <v>#NUM!</v>
      </c>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row>
    <row r="61" spans="1:157" x14ac:dyDescent="0.35">
      <c r="A61" s="65" t="str">
        <f t="shared" si="5"/>
        <v/>
      </c>
      <c r="B61" s="68" t="str">
        <f>Stoff!A61</f>
        <v>Alifater &gt; C6-C8</v>
      </c>
      <c r="C61" s="67">
        <f t="shared" si="6"/>
        <v>0</v>
      </c>
      <c r="D61" s="55">
        <f t="shared" si="7"/>
        <v>0</v>
      </c>
      <c r="E61" s="55" t="e">
        <f t="shared" si="8"/>
        <v>#DIV/0!</v>
      </c>
      <c r="F61" s="66" t="e">
        <f t="shared" si="9"/>
        <v>#NUM!</v>
      </c>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6"/>
      <c r="BT61" s="56"/>
      <c r="BU61" s="56"/>
      <c r="BV61" s="56"/>
      <c r="BW61" s="56"/>
      <c r="BX61" s="56"/>
      <c r="BY61" s="56"/>
      <c r="BZ61" s="56"/>
      <c r="CA61" s="56"/>
      <c r="CB61" s="56"/>
      <c r="CC61" s="56"/>
      <c r="CD61" s="56"/>
      <c r="CE61" s="56"/>
      <c r="CF61" s="56"/>
      <c r="CG61" s="56"/>
      <c r="CH61" s="56"/>
      <c r="CI61" s="56"/>
      <c r="CJ61" s="56"/>
      <c r="CK61" s="56"/>
      <c r="CL61" s="56"/>
      <c r="CM61" s="56"/>
      <c r="CN61" s="56"/>
      <c r="CO61" s="56"/>
      <c r="CP61" s="56"/>
      <c r="CQ61" s="56"/>
      <c r="CR61" s="56"/>
      <c r="CS61" s="56"/>
      <c r="CT61" s="56"/>
      <c r="CU61" s="56"/>
      <c r="CV61" s="56"/>
      <c r="CW61" s="56"/>
      <c r="CX61" s="56"/>
      <c r="CY61" s="56"/>
      <c r="CZ61" s="56"/>
      <c r="DA61" s="56"/>
      <c r="DB61" s="56"/>
      <c r="DC61" s="56"/>
      <c r="DD61" s="56"/>
      <c r="DE61" s="56"/>
      <c r="DF61" s="56"/>
      <c r="DG61" s="56"/>
      <c r="DH61" s="56"/>
      <c r="DI61" s="56"/>
      <c r="DJ61" s="56"/>
      <c r="DK61" s="56"/>
      <c r="DL61" s="56"/>
      <c r="DM61" s="56"/>
      <c r="DN61" s="56"/>
      <c r="DO61" s="56"/>
      <c r="DP61" s="56"/>
      <c r="DQ61" s="56"/>
      <c r="DR61" s="56"/>
      <c r="DS61" s="56"/>
      <c r="DT61" s="56"/>
      <c r="DU61" s="56"/>
      <c r="DV61" s="56"/>
      <c r="DW61" s="56"/>
      <c r="DX61" s="56"/>
      <c r="DY61" s="56"/>
      <c r="DZ61" s="56"/>
      <c r="EA61" s="56"/>
      <c r="EB61" s="56"/>
      <c r="EC61" s="56"/>
      <c r="ED61" s="56"/>
      <c r="EE61" s="56"/>
      <c r="EF61" s="56"/>
      <c r="EG61" s="56"/>
      <c r="EH61" s="56"/>
      <c r="EI61" s="56"/>
      <c r="EJ61" s="56"/>
      <c r="EK61" s="56"/>
      <c r="EL61" s="56"/>
      <c r="EM61" s="56"/>
      <c r="EN61" s="56"/>
      <c r="EO61" s="56"/>
      <c r="EP61" s="56"/>
      <c r="EQ61" s="56"/>
      <c r="ER61" s="56"/>
      <c r="ES61" s="56"/>
      <c r="ET61" s="56"/>
      <c r="EU61" s="56"/>
      <c r="EV61" s="56"/>
      <c r="EW61" s="56"/>
      <c r="EX61" s="56"/>
      <c r="EY61" s="56"/>
      <c r="EZ61" s="56"/>
      <c r="FA61" s="56"/>
    </row>
    <row r="62" spans="1:157" x14ac:dyDescent="0.35">
      <c r="A62" s="65" t="str">
        <f t="shared" si="5"/>
        <v/>
      </c>
      <c r="B62" s="68" t="str">
        <f>Stoff!A62</f>
        <v>Alifater &gt; C8-C10</v>
      </c>
      <c r="C62" s="67">
        <f t="shared" si="6"/>
        <v>0</v>
      </c>
      <c r="D62" s="55">
        <f t="shared" si="7"/>
        <v>0</v>
      </c>
      <c r="E62" s="55" t="e">
        <f t="shared" si="8"/>
        <v>#DIV/0!</v>
      </c>
      <c r="F62" s="66" t="e">
        <f t="shared" si="9"/>
        <v>#NUM!</v>
      </c>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c r="BY62" s="56"/>
      <c r="BZ62" s="56"/>
      <c r="CA62" s="56"/>
      <c r="CB62" s="56"/>
      <c r="CC62" s="56"/>
      <c r="CD62" s="56"/>
      <c r="CE62" s="56"/>
      <c r="CF62" s="56"/>
      <c r="CG62" s="56"/>
      <c r="CH62" s="56"/>
      <c r="CI62" s="56"/>
      <c r="CJ62" s="56"/>
      <c r="CK62" s="56"/>
      <c r="CL62" s="56"/>
      <c r="CM62" s="56"/>
      <c r="CN62" s="56"/>
      <c r="CO62" s="56"/>
      <c r="CP62" s="56"/>
      <c r="CQ62" s="56"/>
      <c r="CR62" s="56"/>
      <c r="CS62" s="56"/>
      <c r="CT62" s="56"/>
      <c r="CU62" s="56"/>
      <c r="CV62" s="56"/>
      <c r="CW62" s="56"/>
      <c r="CX62" s="56"/>
      <c r="CY62" s="56"/>
      <c r="CZ62" s="56"/>
      <c r="DA62" s="56"/>
      <c r="DB62" s="56"/>
      <c r="DC62" s="56"/>
      <c r="DD62" s="56"/>
      <c r="DE62" s="56"/>
      <c r="DF62" s="56"/>
      <c r="DG62" s="56"/>
      <c r="DH62" s="56"/>
      <c r="DI62" s="56"/>
      <c r="DJ62" s="56"/>
      <c r="DK62" s="56"/>
      <c r="DL62" s="56"/>
      <c r="DM62" s="56"/>
      <c r="DN62" s="56"/>
      <c r="DO62" s="56"/>
      <c r="DP62" s="56"/>
      <c r="DQ62" s="56"/>
      <c r="DR62" s="56"/>
      <c r="DS62" s="56"/>
      <c r="DT62" s="56"/>
      <c r="DU62" s="56"/>
      <c r="DV62" s="56"/>
      <c r="DW62" s="56"/>
      <c r="DX62" s="56"/>
      <c r="DY62" s="56"/>
      <c r="DZ62" s="56"/>
      <c r="EA62" s="56"/>
      <c r="EB62" s="56"/>
      <c r="EC62" s="56"/>
      <c r="ED62" s="56"/>
      <c r="EE62" s="56"/>
      <c r="EF62" s="56"/>
      <c r="EG62" s="56"/>
      <c r="EH62" s="56"/>
      <c r="EI62" s="56"/>
      <c r="EJ62" s="56"/>
      <c r="EK62" s="56"/>
      <c r="EL62" s="56"/>
      <c r="EM62" s="56"/>
      <c r="EN62" s="56"/>
      <c r="EO62" s="56"/>
      <c r="EP62" s="56"/>
      <c r="EQ62" s="56"/>
      <c r="ER62" s="56"/>
      <c r="ES62" s="56"/>
      <c r="ET62" s="56"/>
      <c r="EU62" s="56"/>
      <c r="EV62" s="56"/>
      <c r="EW62" s="56"/>
      <c r="EX62" s="56"/>
      <c r="EY62" s="56"/>
      <c r="EZ62" s="56"/>
      <c r="FA62" s="56"/>
    </row>
    <row r="63" spans="1:157" x14ac:dyDescent="0.35">
      <c r="A63" s="65" t="str">
        <f t="shared" si="5"/>
        <v/>
      </c>
      <c r="B63" s="68" t="str">
        <f>Stoff!A63</f>
        <v>Sum alifater &gt; C5-C10</v>
      </c>
      <c r="C63" s="67">
        <f t="shared" si="6"/>
        <v>0</v>
      </c>
      <c r="D63" s="55">
        <f t="shared" si="7"/>
        <v>0</v>
      </c>
      <c r="E63" s="55" t="e">
        <f t="shared" si="8"/>
        <v>#DIV/0!</v>
      </c>
      <c r="F63" s="66" t="e">
        <f t="shared" si="9"/>
        <v>#NUM!</v>
      </c>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c r="CA63" s="56"/>
      <c r="CB63" s="56"/>
      <c r="CC63" s="56"/>
      <c r="CD63" s="56"/>
      <c r="CE63" s="56"/>
      <c r="CF63" s="56"/>
      <c r="CG63" s="56"/>
      <c r="CH63" s="56"/>
      <c r="CI63" s="56"/>
      <c r="CJ63" s="56"/>
      <c r="CK63" s="56"/>
      <c r="CL63" s="56"/>
      <c r="CM63" s="56"/>
      <c r="CN63" s="56"/>
      <c r="CO63" s="56"/>
      <c r="CP63" s="56"/>
      <c r="CQ63" s="56"/>
      <c r="CR63" s="56"/>
      <c r="CS63" s="56"/>
      <c r="CT63" s="56"/>
      <c r="CU63" s="56"/>
      <c r="CV63" s="56"/>
      <c r="CW63" s="56"/>
      <c r="CX63" s="56"/>
      <c r="CY63" s="56"/>
      <c r="CZ63" s="56"/>
      <c r="DA63" s="56"/>
      <c r="DB63" s="56"/>
      <c r="DC63" s="56"/>
      <c r="DD63" s="56"/>
      <c r="DE63" s="56"/>
      <c r="DF63" s="56"/>
      <c r="DG63" s="56"/>
      <c r="DH63" s="56"/>
      <c r="DI63" s="56"/>
      <c r="DJ63" s="56"/>
      <c r="DK63" s="56"/>
      <c r="DL63" s="56"/>
      <c r="DM63" s="56"/>
      <c r="DN63" s="56"/>
      <c r="DO63" s="56"/>
      <c r="DP63" s="56"/>
      <c r="DQ63" s="56"/>
      <c r="DR63" s="56"/>
      <c r="DS63" s="56"/>
      <c r="DT63" s="56"/>
      <c r="DU63" s="56"/>
      <c r="DV63" s="56"/>
      <c r="DW63" s="56"/>
      <c r="DX63" s="56"/>
      <c r="DY63" s="56"/>
      <c r="DZ63" s="56"/>
      <c r="EA63" s="56"/>
      <c r="EB63" s="56"/>
      <c r="EC63" s="56"/>
      <c r="ED63" s="56"/>
      <c r="EE63" s="56"/>
      <c r="EF63" s="56"/>
      <c r="EG63" s="56"/>
      <c r="EH63" s="56"/>
      <c r="EI63" s="56"/>
      <c r="EJ63" s="56"/>
      <c r="EK63" s="56"/>
      <c r="EL63" s="56"/>
      <c r="EM63" s="56"/>
      <c r="EN63" s="56"/>
      <c r="EO63" s="56"/>
      <c r="EP63" s="56"/>
      <c r="EQ63" s="56"/>
      <c r="ER63" s="56"/>
      <c r="ES63" s="56"/>
      <c r="ET63" s="56"/>
      <c r="EU63" s="56"/>
      <c r="EV63" s="56"/>
      <c r="EW63" s="56"/>
      <c r="EX63" s="56"/>
      <c r="EY63" s="56"/>
      <c r="EZ63" s="56"/>
      <c r="FA63" s="56"/>
    </row>
    <row r="64" spans="1:157" x14ac:dyDescent="0.35">
      <c r="A64" s="65" t="str">
        <f t="shared" si="5"/>
        <v/>
      </c>
      <c r="B64" s="68" t="str">
        <f>Stoff!A64</f>
        <v>Alifater &gt;C10-C12</v>
      </c>
      <c r="C64" s="67">
        <f t="shared" si="6"/>
        <v>0</v>
      </c>
      <c r="D64" s="55">
        <f t="shared" si="7"/>
        <v>0</v>
      </c>
      <c r="E64" s="55" t="e">
        <f t="shared" si="8"/>
        <v>#DIV/0!</v>
      </c>
      <c r="F64" s="66" t="e">
        <f t="shared" si="9"/>
        <v>#NUM!</v>
      </c>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c r="BR64" s="56"/>
      <c r="BS64" s="56"/>
      <c r="BT64" s="56"/>
      <c r="BU64" s="56"/>
      <c r="BV64" s="56"/>
      <c r="BW64" s="56"/>
      <c r="BX64" s="56"/>
      <c r="BY64" s="56"/>
      <c r="BZ64" s="56"/>
      <c r="CA64" s="56"/>
      <c r="CB64" s="56"/>
      <c r="CC64" s="56"/>
      <c r="CD64" s="56"/>
      <c r="CE64" s="56"/>
      <c r="CF64" s="56"/>
      <c r="CG64" s="56"/>
      <c r="CH64" s="56"/>
      <c r="CI64" s="56"/>
      <c r="CJ64" s="56"/>
      <c r="CK64" s="56"/>
      <c r="CL64" s="56"/>
      <c r="CM64" s="56"/>
      <c r="CN64" s="56"/>
      <c r="CO64" s="56"/>
      <c r="CP64" s="56"/>
      <c r="CQ64" s="56"/>
      <c r="CR64" s="56"/>
      <c r="CS64" s="56"/>
      <c r="CT64" s="56"/>
      <c r="CU64" s="56"/>
      <c r="CV64" s="56"/>
      <c r="CW64" s="56"/>
      <c r="CX64" s="56"/>
      <c r="CY64" s="56"/>
      <c r="CZ64" s="56"/>
      <c r="DA64" s="56"/>
      <c r="DB64" s="56"/>
      <c r="DC64" s="56"/>
      <c r="DD64" s="56"/>
      <c r="DE64" s="56"/>
      <c r="DF64" s="56"/>
      <c r="DG64" s="56"/>
      <c r="DH64" s="56"/>
      <c r="DI64" s="56"/>
      <c r="DJ64" s="56"/>
      <c r="DK64" s="56"/>
      <c r="DL64" s="56"/>
      <c r="DM64" s="56"/>
      <c r="DN64" s="56"/>
      <c r="DO64" s="56"/>
      <c r="DP64" s="56"/>
      <c r="DQ64" s="56"/>
      <c r="DR64" s="56"/>
      <c r="DS64" s="56"/>
      <c r="DT64" s="56"/>
      <c r="DU64" s="56"/>
      <c r="DV64" s="56"/>
      <c r="DW64" s="56"/>
      <c r="DX64" s="56"/>
      <c r="DY64" s="56"/>
      <c r="DZ64" s="56"/>
      <c r="EA64" s="56"/>
      <c r="EB64" s="56"/>
      <c r="EC64" s="56"/>
      <c r="ED64" s="56"/>
      <c r="EE64" s="56"/>
      <c r="EF64" s="56"/>
      <c r="EG64" s="56"/>
      <c r="EH64" s="56"/>
      <c r="EI64" s="56"/>
      <c r="EJ64" s="56"/>
      <c r="EK64" s="56"/>
      <c r="EL64" s="56"/>
      <c r="EM64" s="56"/>
      <c r="EN64" s="56"/>
      <c r="EO64" s="56"/>
      <c r="EP64" s="56"/>
      <c r="EQ64" s="56"/>
      <c r="ER64" s="56"/>
      <c r="ES64" s="56"/>
      <c r="ET64" s="56"/>
      <c r="EU64" s="56"/>
      <c r="EV64" s="56"/>
      <c r="EW64" s="56"/>
      <c r="EX64" s="56"/>
      <c r="EY64" s="56"/>
      <c r="EZ64" s="56"/>
      <c r="FA64" s="56"/>
    </row>
    <row r="65" spans="1:157" x14ac:dyDescent="0.35">
      <c r="A65" s="65" t="str">
        <f t="shared" si="5"/>
        <v/>
      </c>
      <c r="B65" s="68" t="str">
        <f>Stoff!A65</f>
        <v>Alifater &gt;C12-C35</v>
      </c>
      <c r="C65" s="67">
        <f t="shared" si="6"/>
        <v>0</v>
      </c>
      <c r="D65" s="55">
        <f t="shared" si="7"/>
        <v>0</v>
      </c>
      <c r="E65" s="55" t="e">
        <f t="shared" si="8"/>
        <v>#DIV/0!</v>
      </c>
      <c r="F65" s="66" t="e">
        <f t="shared" si="9"/>
        <v>#NUM!</v>
      </c>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c r="CW65" s="56"/>
      <c r="CX65" s="56"/>
      <c r="CY65" s="56"/>
      <c r="CZ65" s="56"/>
      <c r="DA65" s="56"/>
      <c r="DB65" s="56"/>
      <c r="DC65" s="56"/>
      <c r="DD65" s="56"/>
      <c r="DE65" s="56"/>
      <c r="DF65" s="56"/>
      <c r="DG65" s="56"/>
      <c r="DH65" s="56"/>
      <c r="DI65" s="56"/>
      <c r="DJ65" s="56"/>
      <c r="DK65" s="56"/>
      <c r="DL65" s="56"/>
      <c r="DM65" s="56"/>
      <c r="DN65" s="56"/>
      <c r="DO65" s="56"/>
      <c r="DP65" s="56"/>
      <c r="DQ65" s="56"/>
      <c r="DR65" s="56"/>
      <c r="DS65" s="56"/>
      <c r="DT65" s="56"/>
      <c r="DU65" s="56"/>
      <c r="DV65" s="56"/>
      <c r="DW65" s="56"/>
      <c r="DX65" s="56"/>
      <c r="DY65" s="56"/>
      <c r="DZ65" s="56"/>
      <c r="EA65" s="56"/>
      <c r="EB65" s="56"/>
      <c r="EC65" s="56"/>
      <c r="ED65" s="56"/>
      <c r="EE65" s="56"/>
      <c r="EF65" s="56"/>
      <c r="EG65" s="56"/>
      <c r="EH65" s="56"/>
      <c r="EI65" s="56"/>
      <c r="EJ65" s="56"/>
      <c r="EK65" s="56"/>
      <c r="EL65" s="56"/>
      <c r="EM65" s="56"/>
      <c r="EN65" s="56"/>
      <c r="EO65" s="56"/>
      <c r="EP65" s="56"/>
      <c r="EQ65" s="56"/>
      <c r="ER65" s="56"/>
      <c r="ES65" s="56"/>
      <c r="ET65" s="56"/>
      <c r="EU65" s="56"/>
      <c r="EV65" s="56"/>
      <c r="EW65" s="56"/>
      <c r="EX65" s="56"/>
      <c r="EY65" s="56"/>
      <c r="EZ65" s="56"/>
      <c r="FA65" s="56"/>
    </row>
    <row r="66" spans="1:157" x14ac:dyDescent="0.35">
      <c r="A66" s="65" t="str">
        <f t="shared" si="5"/>
        <v/>
      </c>
      <c r="B66" s="68" t="str">
        <f>Stoff!A66</f>
        <v>MTBE</v>
      </c>
      <c r="C66" s="67">
        <f t="shared" si="6"/>
        <v>0</v>
      </c>
      <c r="D66" s="55">
        <f t="shared" si="7"/>
        <v>0</v>
      </c>
      <c r="E66" s="55" t="e">
        <f t="shared" si="8"/>
        <v>#DIV/0!</v>
      </c>
      <c r="F66" s="66" t="e">
        <f t="shared" si="9"/>
        <v>#NUM!</v>
      </c>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56"/>
      <c r="BT66" s="56"/>
      <c r="BU66" s="56"/>
      <c r="BV66" s="56"/>
      <c r="BW66" s="56"/>
      <c r="BX66" s="56"/>
      <c r="BY66" s="56"/>
      <c r="BZ66" s="56"/>
      <c r="CA66" s="56"/>
      <c r="CB66" s="56"/>
      <c r="CC66" s="56"/>
      <c r="CD66" s="56"/>
      <c r="CE66" s="56"/>
      <c r="CF66" s="56"/>
      <c r="CG66" s="56"/>
      <c r="CH66" s="56"/>
      <c r="CI66" s="56"/>
      <c r="CJ66" s="56"/>
      <c r="CK66" s="56"/>
      <c r="CL66" s="56"/>
      <c r="CM66" s="56"/>
      <c r="CN66" s="56"/>
      <c r="CO66" s="56"/>
      <c r="CP66" s="56"/>
      <c r="CQ66" s="56"/>
      <c r="CR66" s="56"/>
      <c r="CS66" s="56"/>
      <c r="CT66" s="56"/>
      <c r="CU66" s="56"/>
      <c r="CV66" s="56"/>
      <c r="CW66" s="56"/>
      <c r="CX66" s="56"/>
      <c r="CY66" s="56"/>
      <c r="CZ66" s="56"/>
      <c r="DA66" s="56"/>
      <c r="DB66" s="56"/>
      <c r="DC66" s="56"/>
      <c r="DD66" s="56"/>
      <c r="DE66" s="56"/>
      <c r="DF66" s="56"/>
      <c r="DG66" s="56"/>
      <c r="DH66" s="56"/>
      <c r="DI66" s="56"/>
      <c r="DJ66" s="56"/>
      <c r="DK66" s="56"/>
      <c r="DL66" s="56"/>
      <c r="DM66" s="56"/>
      <c r="DN66" s="56"/>
      <c r="DO66" s="56"/>
      <c r="DP66" s="56"/>
      <c r="DQ66" s="56"/>
      <c r="DR66" s="56"/>
      <c r="DS66" s="56"/>
      <c r="DT66" s="56"/>
      <c r="DU66" s="56"/>
      <c r="DV66" s="56"/>
      <c r="DW66" s="56"/>
      <c r="DX66" s="56"/>
      <c r="DY66" s="56"/>
      <c r="DZ66" s="56"/>
      <c r="EA66" s="56"/>
      <c r="EB66" s="56"/>
      <c r="EC66" s="56"/>
      <c r="ED66" s="56"/>
      <c r="EE66" s="56"/>
      <c r="EF66" s="56"/>
      <c r="EG66" s="56"/>
      <c r="EH66" s="56"/>
      <c r="EI66" s="56"/>
      <c r="EJ66" s="56"/>
      <c r="EK66" s="56"/>
      <c r="EL66" s="56"/>
      <c r="EM66" s="56"/>
      <c r="EN66" s="56"/>
      <c r="EO66" s="56"/>
      <c r="EP66" s="56"/>
      <c r="EQ66" s="56"/>
      <c r="ER66" s="56"/>
      <c r="ES66" s="56"/>
      <c r="ET66" s="56"/>
      <c r="EU66" s="56"/>
      <c r="EV66" s="56"/>
      <c r="EW66" s="56"/>
      <c r="EX66" s="56"/>
      <c r="EY66" s="56"/>
      <c r="EZ66" s="56"/>
      <c r="FA66" s="56"/>
    </row>
    <row r="67" spans="1:157" x14ac:dyDescent="0.35">
      <c r="A67" s="65" t="str">
        <f t="shared" ref="A67:A86" si="10">IF(C67&gt;0,"x","")</f>
        <v/>
      </c>
      <c r="B67" s="68" t="str">
        <f>Stoff!A67</f>
        <v>Tetraetylbly</v>
      </c>
      <c r="C67" s="67">
        <f t="shared" ref="C67:C86" si="11">COUNT(G67:IV67)</f>
        <v>0</v>
      </c>
      <c r="D67" s="55">
        <f t="shared" ref="D67:D86" si="12">MAXA(G67:IV67)</f>
        <v>0</v>
      </c>
      <c r="E67" s="55" t="e">
        <f t="shared" ref="E67:E86" si="13">AVERAGE(G67:IV67)</f>
        <v>#DIV/0!</v>
      </c>
      <c r="F67" s="66" t="e">
        <f t="shared" ref="F67:F86" si="14">D67/MEDIAN(G67:IV67)</f>
        <v>#NUM!</v>
      </c>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56"/>
      <c r="BT67" s="56"/>
      <c r="BU67" s="56"/>
      <c r="BV67" s="56"/>
      <c r="BW67" s="56"/>
      <c r="BX67" s="56"/>
      <c r="BY67" s="56"/>
      <c r="BZ67" s="56"/>
      <c r="CA67" s="56"/>
      <c r="CB67" s="56"/>
      <c r="CC67" s="56"/>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c r="DB67" s="56"/>
      <c r="DC67" s="56"/>
      <c r="DD67" s="56"/>
      <c r="DE67" s="56"/>
      <c r="DF67" s="56"/>
      <c r="DG67" s="56"/>
      <c r="DH67" s="56"/>
      <c r="DI67" s="56"/>
      <c r="DJ67" s="56"/>
      <c r="DK67" s="56"/>
      <c r="DL67" s="56"/>
      <c r="DM67" s="56"/>
      <c r="DN67" s="56"/>
      <c r="DO67" s="56"/>
      <c r="DP67" s="56"/>
      <c r="DQ67" s="56"/>
      <c r="DR67" s="56"/>
      <c r="DS67" s="56"/>
      <c r="DT67" s="56"/>
      <c r="DU67" s="56"/>
      <c r="DV67" s="56"/>
      <c r="DW67" s="56"/>
      <c r="DX67" s="56"/>
      <c r="DY67" s="56"/>
      <c r="DZ67" s="56"/>
      <c r="EA67" s="56"/>
      <c r="EB67" s="56"/>
      <c r="EC67" s="56"/>
      <c r="ED67" s="56"/>
      <c r="EE67" s="56"/>
      <c r="EF67" s="56"/>
      <c r="EG67" s="56"/>
      <c r="EH67" s="56"/>
      <c r="EI67" s="56"/>
      <c r="EJ67" s="56"/>
      <c r="EK67" s="56"/>
      <c r="EL67" s="56"/>
      <c r="EM67" s="56"/>
      <c r="EN67" s="56"/>
      <c r="EO67" s="56"/>
      <c r="EP67" s="56"/>
      <c r="EQ67" s="56"/>
      <c r="ER67" s="56"/>
      <c r="ES67" s="56"/>
      <c r="ET67" s="56"/>
      <c r="EU67" s="56"/>
      <c r="EV67" s="56"/>
      <c r="EW67" s="56"/>
      <c r="EX67" s="56"/>
      <c r="EY67" s="56"/>
      <c r="EZ67" s="56"/>
      <c r="FA67" s="56"/>
    </row>
    <row r="68" spans="1:157" x14ac:dyDescent="0.35">
      <c r="A68" s="65" t="str">
        <f t="shared" si="10"/>
        <v/>
      </c>
      <c r="B68" s="68" t="str">
        <f>Stoff!A68</f>
        <v>PBDE-99</v>
      </c>
      <c r="C68" s="67">
        <f t="shared" si="11"/>
        <v>0</v>
      </c>
      <c r="D68" s="55">
        <f t="shared" si="12"/>
        <v>0</v>
      </c>
      <c r="E68" s="55" t="e">
        <f t="shared" si="13"/>
        <v>#DIV/0!</v>
      </c>
      <c r="F68" s="66" t="e">
        <f t="shared" si="14"/>
        <v>#NUM!</v>
      </c>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56"/>
      <c r="BT68" s="56"/>
      <c r="BU68" s="56"/>
      <c r="BV68" s="56"/>
      <c r="BW68" s="56"/>
      <c r="BX68" s="56"/>
      <c r="BY68" s="56"/>
      <c r="BZ68" s="56"/>
      <c r="CA68" s="56"/>
      <c r="CB68" s="56"/>
      <c r="CC68" s="56"/>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c r="DB68" s="56"/>
      <c r="DC68" s="56"/>
      <c r="DD68" s="56"/>
      <c r="DE68" s="56"/>
      <c r="DF68" s="56"/>
      <c r="DG68" s="56"/>
      <c r="DH68" s="56"/>
      <c r="DI68" s="56"/>
      <c r="DJ68" s="56"/>
      <c r="DK68" s="56"/>
      <c r="DL68" s="56"/>
      <c r="DM68" s="56"/>
      <c r="DN68" s="56"/>
      <c r="DO68" s="56"/>
      <c r="DP68" s="56"/>
      <c r="DQ68" s="56"/>
      <c r="DR68" s="56"/>
      <c r="DS68" s="56"/>
      <c r="DT68" s="56"/>
      <c r="DU68" s="56"/>
      <c r="DV68" s="56"/>
      <c r="DW68" s="56"/>
      <c r="DX68" s="56"/>
      <c r="DY68" s="56"/>
      <c r="DZ68" s="56"/>
      <c r="EA68" s="56"/>
      <c r="EB68" s="56"/>
      <c r="EC68" s="56"/>
      <c r="ED68" s="56"/>
      <c r="EE68" s="56"/>
      <c r="EF68" s="56"/>
      <c r="EG68" s="56"/>
      <c r="EH68" s="56"/>
      <c r="EI68" s="56"/>
      <c r="EJ68" s="56"/>
      <c r="EK68" s="56"/>
      <c r="EL68" s="56"/>
      <c r="EM68" s="56"/>
      <c r="EN68" s="56"/>
      <c r="EO68" s="56"/>
      <c r="EP68" s="56"/>
      <c r="EQ68" s="56"/>
      <c r="ER68" s="56"/>
      <c r="ES68" s="56"/>
      <c r="ET68" s="56"/>
      <c r="EU68" s="56"/>
      <c r="EV68" s="56"/>
      <c r="EW68" s="56"/>
      <c r="EX68" s="56"/>
      <c r="EY68" s="56"/>
      <c r="EZ68" s="56"/>
      <c r="FA68" s="56"/>
    </row>
    <row r="69" spans="1:157" x14ac:dyDescent="0.35">
      <c r="A69" s="65" t="str">
        <f t="shared" si="10"/>
        <v/>
      </c>
      <c r="B69" s="68" t="str">
        <f>Stoff!A69</f>
        <v>PBDE-154</v>
      </c>
      <c r="C69" s="67">
        <f t="shared" si="11"/>
        <v>0</v>
      </c>
      <c r="D69" s="55">
        <f t="shared" si="12"/>
        <v>0</v>
      </c>
      <c r="E69" s="55" t="e">
        <f t="shared" si="13"/>
        <v>#DIV/0!</v>
      </c>
      <c r="F69" s="66" t="e">
        <f t="shared" si="14"/>
        <v>#NUM!</v>
      </c>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6"/>
      <c r="DD69" s="56"/>
      <c r="DE69" s="56"/>
      <c r="DF69" s="56"/>
      <c r="DG69" s="56"/>
      <c r="DH69" s="56"/>
      <c r="DI69" s="56"/>
      <c r="DJ69" s="56"/>
      <c r="DK69" s="56"/>
      <c r="DL69" s="56"/>
      <c r="DM69" s="56"/>
      <c r="DN69" s="56"/>
      <c r="DO69" s="56"/>
      <c r="DP69" s="56"/>
      <c r="DQ69" s="56"/>
      <c r="DR69" s="56"/>
      <c r="DS69" s="56"/>
      <c r="DT69" s="56"/>
      <c r="DU69" s="56"/>
      <c r="DV69" s="56"/>
      <c r="DW69" s="56"/>
      <c r="DX69" s="56"/>
      <c r="DY69" s="56"/>
      <c r="DZ69" s="56"/>
      <c r="EA69" s="56"/>
      <c r="EB69" s="56"/>
      <c r="EC69" s="56"/>
      <c r="ED69" s="56"/>
      <c r="EE69" s="56"/>
      <c r="EF69" s="56"/>
      <c r="EG69" s="56"/>
      <c r="EH69" s="56"/>
      <c r="EI69" s="56"/>
      <c r="EJ69" s="56"/>
      <c r="EK69" s="56"/>
      <c r="EL69" s="56"/>
      <c r="EM69" s="56"/>
      <c r="EN69" s="56"/>
      <c r="EO69" s="56"/>
      <c r="EP69" s="56"/>
      <c r="EQ69" s="56"/>
      <c r="ER69" s="56"/>
      <c r="ES69" s="56"/>
      <c r="ET69" s="56"/>
      <c r="EU69" s="56"/>
      <c r="EV69" s="56"/>
      <c r="EW69" s="56"/>
      <c r="EX69" s="56"/>
      <c r="EY69" s="56"/>
      <c r="EZ69" s="56"/>
      <c r="FA69" s="56"/>
    </row>
    <row r="70" spans="1:157" x14ac:dyDescent="0.35">
      <c r="A70" s="65" t="str">
        <f t="shared" si="10"/>
        <v/>
      </c>
      <c r="B70" s="68" t="str">
        <f>Stoff!A70</f>
        <v>PBDE-209</v>
      </c>
      <c r="C70" s="67">
        <f t="shared" si="11"/>
        <v>0</v>
      </c>
      <c r="D70" s="55">
        <f t="shared" si="12"/>
        <v>0</v>
      </c>
      <c r="E70" s="55" t="e">
        <f t="shared" si="13"/>
        <v>#DIV/0!</v>
      </c>
      <c r="F70" s="66" t="e">
        <f t="shared" si="14"/>
        <v>#NUM!</v>
      </c>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c r="BR70" s="56"/>
      <c r="BS70" s="56"/>
      <c r="BT70" s="56"/>
      <c r="BU70" s="56"/>
      <c r="BV70" s="56"/>
      <c r="BW70" s="56"/>
      <c r="BX70" s="56"/>
      <c r="BY70" s="56"/>
      <c r="BZ70" s="56"/>
      <c r="CA70" s="56"/>
      <c r="CB70" s="56"/>
      <c r="CC70" s="56"/>
      <c r="CD70" s="56"/>
      <c r="CE70" s="56"/>
      <c r="CF70" s="56"/>
      <c r="CG70" s="56"/>
      <c r="CH70" s="56"/>
      <c r="CI70" s="56"/>
      <c r="CJ70" s="56"/>
      <c r="CK70" s="56"/>
      <c r="CL70" s="56"/>
      <c r="CM70" s="56"/>
      <c r="CN70" s="56"/>
      <c r="CO70" s="56"/>
      <c r="CP70" s="56"/>
      <c r="CQ70" s="56"/>
      <c r="CR70" s="56"/>
      <c r="CS70" s="56"/>
      <c r="CT70" s="56"/>
      <c r="CU70" s="56"/>
      <c r="CV70" s="56"/>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row>
    <row r="71" spans="1:157" x14ac:dyDescent="0.35">
      <c r="A71" s="65" t="str">
        <f t="shared" si="10"/>
        <v/>
      </c>
      <c r="B71" s="68" t="str">
        <f>Stoff!A71</f>
        <v>HBCDD</v>
      </c>
      <c r="C71" s="67">
        <f t="shared" si="11"/>
        <v>0</v>
      </c>
      <c r="D71" s="55">
        <f t="shared" si="12"/>
        <v>0</v>
      </c>
      <c r="E71" s="55" t="e">
        <f t="shared" si="13"/>
        <v>#DIV/0!</v>
      </c>
      <c r="F71" s="66" t="e">
        <f t="shared" si="14"/>
        <v>#NUM!</v>
      </c>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c r="BR71" s="56"/>
      <c r="BS71" s="56"/>
      <c r="BT71" s="56"/>
      <c r="BU71" s="56"/>
      <c r="BV71" s="56"/>
      <c r="BW71" s="56"/>
      <c r="BX71" s="56"/>
      <c r="BY71" s="56"/>
      <c r="BZ71" s="56"/>
      <c r="CA71" s="56"/>
      <c r="CB71" s="56"/>
      <c r="CC71" s="56"/>
      <c r="CD71" s="56"/>
      <c r="CE71" s="56"/>
      <c r="CF71" s="56"/>
      <c r="CG71" s="56"/>
      <c r="CH71" s="56"/>
      <c r="CI71" s="56"/>
      <c r="CJ71" s="56"/>
      <c r="CK71" s="56"/>
      <c r="CL71" s="56"/>
      <c r="CM71" s="56"/>
      <c r="CN71" s="56"/>
      <c r="CO71" s="56"/>
      <c r="CP71" s="56"/>
      <c r="CQ71" s="56"/>
      <c r="CR71" s="56"/>
      <c r="CS71" s="56"/>
      <c r="CT71" s="56"/>
      <c r="CU71" s="56"/>
      <c r="CV71" s="56"/>
      <c r="CW71" s="56"/>
      <c r="CX71" s="56"/>
      <c r="CY71" s="56"/>
      <c r="CZ71" s="56"/>
      <c r="DA71" s="56"/>
      <c r="DB71" s="56"/>
      <c r="DC71" s="56"/>
      <c r="DD71" s="56"/>
      <c r="DE71" s="56"/>
      <c r="DF71" s="56"/>
      <c r="DG71" s="56"/>
      <c r="DH71" s="56"/>
      <c r="DI71" s="56"/>
      <c r="DJ71" s="56"/>
      <c r="DK71" s="56"/>
      <c r="DL71" s="56"/>
      <c r="DM71" s="56"/>
      <c r="DN71" s="56"/>
      <c r="DO71" s="56"/>
      <c r="DP71" s="56"/>
      <c r="DQ71" s="56"/>
      <c r="DR71" s="56"/>
      <c r="DS71" s="56"/>
      <c r="DT71" s="56"/>
      <c r="DU71" s="56"/>
      <c r="DV71" s="56"/>
      <c r="DW71" s="56"/>
      <c r="DX71" s="56"/>
      <c r="DY71" s="56"/>
      <c r="DZ71" s="56"/>
      <c r="EA71" s="56"/>
      <c r="EB71" s="56"/>
      <c r="EC71" s="56"/>
      <c r="ED71" s="56"/>
      <c r="EE71" s="56"/>
      <c r="EF71" s="56"/>
      <c r="EG71" s="56"/>
      <c r="EH71" s="56"/>
      <c r="EI71" s="56"/>
      <c r="EJ71" s="56"/>
      <c r="EK71" s="56"/>
      <c r="EL71" s="56"/>
      <c r="EM71" s="56"/>
      <c r="EN71" s="56"/>
      <c r="EO71" s="56"/>
      <c r="EP71" s="56"/>
      <c r="EQ71" s="56"/>
      <c r="ER71" s="56"/>
      <c r="ES71" s="56"/>
      <c r="ET71" s="56"/>
      <c r="EU71" s="56"/>
      <c r="EV71" s="56"/>
      <c r="EW71" s="56"/>
      <c r="EX71" s="56"/>
      <c r="EY71" s="56"/>
      <c r="EZ71" s="56"/>
      <c r="FA71" s="56"/>
    </row>
    <row r="72" spans="1:157" x14ac:dyDescent="0.35">
      <c r="A72" s="65" t="str">
        <f t="shared" si="10"/>
        <v/>
      </c>
      <c r="B72" s="68" t="str">
        <f>Stoff!A72</f>
        <v>Tetrabrombisfenol A</v>
      </c>
      <c r="C72" s="67">
        <f t="shared" si="11"/>
        <v>0</v>
      </c>
      <c r="D72" s="55">
        <f t="shared" si="12"/>
        <v>0</v>
      </c>
      <c r="E72" s="55" t="e">
        <f t="shared" si="13"/>
        <v>#DIV/0!</v>
      </c>
      <c r="F72" s="66" t="e">
        <f t="shared" si="14"/>
        <v>#NUM!</v>
      </c>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c r="BR72" s="56"/>
      <c r="BS72" s="56"/>
      <c r="BT72" s="56"/>
      <c r="BU72" s="56"/>
      <c r="BV72" s="56"/>
      <c r="BW72" s="56"/>
      <c r="BX72" s="56"/>
      <c r="BY72" s="56"/>
      <c r="BZ72" s="56"/>
      <c r="CA72" s="56"/>
      <c r="CB72" s="56"/>
      <c r="CC72" s="56"/>
      <c r="CD72" s="56"/>
      <c r="CE72" s="56"/>
      <c r="CF72" s="56"/>
      <c r="CG72" s="56"/>
      <c r="CH72" s="56"/>
      <c r="CI72" s="56"/>
      <c r="CJ72" s="56"/>
      <c r="CK72" s="56"/>
      <c r="CL72" s="56"/>
      <c r="CM72" s="56"/>
      <c r="CN72" s="56"/>
      <c r="CO72" s="56"/>
      <c r="CP72" s="56"/>
      <c r="CQ72" s="56"/>
      <c r="CR72" s="56"/>
      <c r="CS72" s="56"/>
      <c r="CT72" s="56"/>
      <c r="CU72" s="56"/>
      <c r="CV72" s="56"/>
      <c r="CW72" s="56"/>
      <c r="CX72" s="56"/>
      <c r="CY72" s="56"/>
      <c r="CZ72" s="56"/>
      <c r="DA72" s="56"/>
      <c r="DB72" s="56"/>
      <c r="DC72" s="56"/>
      <c r="DD72" s="56"/>
      <c r="DE72" s="56"/>
      <c r="DF72" s="56"/>
      <c r="DG72" s="56"/>
      <c r="DH72" s="56"/>
      <c r="DI72" s="56"/>
      <c r="DJ72" s="56"/>
      <c r="DK72" s="56"/>
      <c r="DL72" s="56"/>
      <c r="DM72" s="56"/>
      <c r="DN72" s="56"/>
      <c r="DO72" s="56"/>
      <c r="DP72" s="56"/>
      <c r="DQ72" s="56"/>
      <c r="DR72" s="56"/>
      <c r="DS72" s="56"/>
      <c r="DT72" s="56"/>
      <c r="DU72" s="56"/>
      <c r="DV72" s="56"/>
      <c r="DW72" s="56"/>
      <c r="DX72" s="56"/>
      <c r="DY72" s="56"/>
      <c r="DZ72" s="56"/>
      <c r="EA72" s="56"/>
      <c r="EB72" s="56"/>
      <c r="EC72" s="56"/>
      <c r="ED72" s="56"/>
      <c r="EE72" s="56"/>
      <c r="EF72" s="56"/>
      <c r="EG72" s="56"/>
      <c r="EH72" s="56"/>
      <c r="EI72" s="56"/>
      <c r="EJ72" s="56"/>
      <c r="EK72" s="56"/>
      <c r="EL72" s="56"/>
      <c r="EM72" s="56"/>
      <c r="EN72" s="56"/>
      <c r="EO72" s="56"/>
      <c r="EP72" s="56"/>
      <c r="EQ72" s="56"/>
      <c r="ER72" s="56"/>
      <c r="ES72" s="56"/>
      <c r="ET72" s="56"/>
      <c r="EU72" s="56"/>
      <c r="EV72" s="56"/>
      <c r="EW72" s="56"/>
      <c r="EX72" s="56"/>
      <c r="EY72" s="56"/>
      <c r="EZ72" s="56"/>
      <c r="FA72" s="56"/>
    </row>
    <row r="73" spans="1:157" x14ac:dyDescent="0.35">
      <c r="A73" s="65" t="str">
        <f t="shared" si="10"/>
        <v/>
      </c>
      <c r="B73" s="68" t="str">
        <f>Stoff!A73</f>
        <v>Bisfenol A</v>
      </c>
      <c r="C73" s="67">
        <f t="shared" si="11"/>
        <v>0</v>
      </c>
      <c r="D73" s="55">
        <f t="shared" si="12"/>
        <v>0</v>
      </c>
      <c r="E73" s="55" t="e">
        <f t="shared" si="13"/>
        <v>#DIV/0!</v>
      </c>
      <c r="F73" s="66" t="e">
        <f t="shared" si="14"/>
        <v>#NUM!</v>
      </c>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c r="BR73" s="56"/>
      <c r="BS73" s="56"/>
      <c r="BT73" s="56"/>
      <c r="BU73" s="56"/>
      <c r="BV73" s="56"/>
      <c r="BW73" s="56"/>
      <c r="BX73" s="56"/>
      <c r="BY73" s="56"/>
      <c r="BZ73" s="56"/>
      <c r="CA73" s="56"/>
      <c r="CB73" s="56"/>
      <c r="CC73" s="56"/>
      <c r="CD73" s="56"/>
      <c r="CE73" s="56"/>
      <c r="CF73" s="56"/>
      <c r="CG73" s="56"/>
      <c r="CH73" s="56"/>
      <c r="CI73" s="56"/>
      <c r="CJ73" s="56"/>
      <c r="CK73" s="56"/>
      <c r="CL73" s="56"/>
      <c r="CM73" s="56"/>
      <c r="CN73" s="56"/>
      <c r="CO73" s="56"/>
      <c r="CP73" s="56"/>
      <c r="CQ73" s="56"/>
      <c r="CR73" s="56"/>
      <c r="CS73" s="56"/>
      <c r="CT73" s="56"/>
      <c r="CU73" s="56"/>
      <c r="CV73" s="56"/>
      <c r="CW73" s="56"/>
      <c r="CX73" s="56"/>
      <c r="CY73" s="56"/>
      <c r="CZ73" s="56"/>
      <c r="DA73" s="56"/>
      <c r="DB73" s="56"/>
      <c r="DC73" s="56"/>
      <c r="DD73" s="56"/>
      <c r="DE73" s="56"/>
      <c r="DF73" s="56"/>
      <c r="DG73" s="56"/>
      <c r="DH73" s="56"/>
      <c r="DI73" s="56"/>
      <c r="DJ73" s="56"/>
      <c r="DK73" s="56"/>
      <c r="DL73" s="56"/>
      <c r="DM73" s="56"/>
      <c r="DN73" s="56"/>
      <c r="DO73" s="56"/>
      <c r="DP73" s="56"/>
      <c r="DQ73" s="56"/>
      <c r="DR73" s="56"/>
      <c r="DS73" s="56"/>
      <c r="DT73" s="56"/>
      <c r="DU73" s="56"/>
      <c r="DV73" s="56"/>
      <c r="DW73" s="56"/>
      <c r="DX73" s="56"/>
      <c r="DY73" s="56"/>
      <c r="DZ73" s="56"/>
      <c r="EA73" s="56"/>
      <c r="EB73" s="56"/>
      <c r="EC73" s="56"/>
      <c r="ED73" s="56"/>
      <c r="EE73" s="56"/>
      <c r="EF73" s="56"/>
      <c r="EG73" s="56"/>
      <c r="EH73" s="56"/>
      <c r="EI73" s="56"/>
      <c r="EJ73" s="56"/>
      <c r="EK73" s="56"/>
      <c r="EL73" s="56"/>
      <c r="EM73" s="56"/>
      <c r="EN73" s="56"/>
      <c r="EO73" s="56"/>
      <c r="EP73" s="56"/>
      <c r="EQ73" s="56"/>
      <c r="ER73" s="56"/>
      <c r="ES73" s="56"/>
      <c r="ET73" s="56"/>
      <c r="EU73" s="56"/>
      <c r="EV73" s="56"/>
      <c r="EW73" s="56"/>
      <c r="EX73" s="56"/>
      <c r="EY73" s="56"/>
      <c r="EZ73" s="56"/>
      <c r="FA73" s="56"/>
    </row>
    <row r="74" spans="1:157" x14ac:dyDescent="0.35">
      <c r="A74" s="65" t="str">
        <f t="shared" si="10"/>
        <v/>
      </c>
      <c r="B74" s="68" t="str">
        <f>Stoff!A74</f>
        <v>PFOS</v>
      </c>
      <c r="C74" s="67">
        <f t="shared" si="11"/>
        <v>0</v>
      </c>
      <c r="D74" s="55">
        <f t="shared" si="12"/>
        <v>0</v>
      </c>
      <c r="E74" s="55" t="e">
        <f t="shared" si="13"/>
        <v>#DIV/0!</v>
      </c>
      <c r="F74" s="66" t="e">
        <f t="shared" si="14"/>
        <v>#NUM!</v>
      </c>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c r="BR74" s="56"/>
      <c r="BS74" s="56"/>
      <c r="BT74" s="56"/>
      <c r="BU74" s="56"/>
      <c r="BV74" s="56"/>
      <c r="BW74" s="56"/>
      <c r="BX74" s="56"/>
      <c r="BY74" s="56"/>
      <c r="BZ74" s="56"/>
      <c r="CA74" s="56"/>
      <c r="CB74" s="56"/>
      <c r="CC74" s="56"/>
      <c r="CD74" s="56"/>
      <c r="CE74" s="56"/>
      <c r="CF74" s="56"/>
      <c r="CG74" s="56"/>
      <c r="CH74" s="56"/>
      <c r="CI74" s="56"/>
      <c r="CJ74" s="56"/>
      <c r="CK74" s="56"/>
      <c r="CL74" s="56"/>
      <c r="CM74" s="56"/>
      <c r="CN74" s="56"/>
      <c r="CO74" s="56"/>
      <c r="CP74" s="56"/>
      <c r="CQ74" s="56"/>
      <c r="CR74" s="56"/>
      <c r="CS74" s="56"/>
      <c r="CT74" s="56"/>
      <c r="CU74" s="56"/>
      <c r="CV74" s="56"/>
      <c r="CW74" s="56"/>
      <c r="CX74" s="56"/>
      <c r="CY74" s="56"/>
      <c r="CZ74" s="56"/>
      <c r="DA74" s="56"/>
      <c r="DB74" s="56"/>
      <c r="DC74" s="56"/>
      <c r="DD74" s="56"/>
      <c r="DE74" s="56"/>
      <c r="DF74" s="56"/>
      <c r="DG74" s="56"/>
      <c r="DH74" s="56"/>
      <c r="DI74" s="56"/>
      <c r="DJ74" s="56"/>
      <c r="DK74" s="56"/>
      <c r="DL74" s="56"/>
      <c r="DM74" s="56"/>
      <c r="DN74" s="56"/>
      <c r="DO74" s="56"/>
      <c r="DP74" s="56"/>
      <c r="DQ74" s="56"/>
      <c r="DR74" s="56"/>
      <c r="DS74" s="56"/>
      <c r="DT74" s="56"/>
      <c r="DU74" s="56"/>
      <c r="DV74" s="56"/>
      <c r="DW74" s="56"/>
      <c r="DX74" s="56"/>
      <c r="DY74" s="56"/>
      <c r="DZ74" s="56"/>
      <c r="EA74" s="56"/>
      <c r="EB74" s="56"/>
      <c r="EC74" s="56"/>
      <c r="ED74" s="56"/>
      <c r="EE74" s="56"/>
      <c r="EF74" s="56"/>
      <c r="EG74" s="56"/>
      <c r="EH74" s="56"/>
      <c r="EI74" s="56"/>
      <c r="EJ74" s="56"/>
      <c r="EK74" s="56"/>
      <c r="EL74" s="56"/>
      <c r="EM74" s="56"/>
      <c r="EN74" s="56"/>
      <c r="EO74" s="56"/>
      <c r="EP74" s="56"/>
      <c r="EQ74" s="56"/>
      <c r="ER74" s="56"/>
      <c r="ES74" s="56"/>
      <c r="ET74" s="56"/>
      <c r="EU74" s="56"/>
      <c r="EV74" s="56"/>
      <c r="EW74" s="56"/>
      <c r="EX74" s="56"/>
      <c r="EY74" s="56"/>
      <c r="EZ74" s="56"/>
      <c r="FA74" s="56"/>
    </row>
    <row r="75" spans="1:157" x14ac:dyDescent="0.35">
      <c r="A75" s="65" t="str">
        <f t="shared" si="10"/>
        <v/>
      </c>
      <c r="B75" s="68" t="str">
        <f>Stoff!A75</f>
        <v>Nonylfenol</v>
      </c>
      <c r="C75" s="67">
        <f t="shared" si="11"/>
        <v>0</v>
      </c>
      <c r="D75" s="55">
        <f t="shared" si="12"/>
        <v>0</v>
      </c>
      <c r="E75" s="55" t="e">
        <f t="shared" si="13"/>
        <v>#DIV/0!</v>
      </c>
      <c r="F75" s="66" t="e">
        <f t="shared" si="14"/>
        <v>#NUM!</v>
      </c>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c r="BR75" s="56"/>
      <c r="BS75" s="56"/>
      <c r="BT75" s="56"/>
      <c r="BU75" s="56"/>
      <c r="BV75" s="56"/>
      <c r="BW75" s="56"/>
      <c r="BX75" s="56"/>
      <c r="BY75" s="56"/>
      <c r="BZ75" s="56"/>
      <c r="CA75" s="56"/>
      <c r="CB75" s="56"/>
      <c r="CC75" s="56"/>
      <c r="CD75" s="56"/>
      <c r="CE75" s="56"/>
      <c r="CF75" s="56"/>
      <c r="CG75" s="56"/>
      <c r="CH75" s="56"/>
      <c r="CI75" s="56"/>
      <c r="CJ75" s="56"/>
      <c r="CK75" s="56"/>
      <c r="CL75" s="56"/>
      <c r="CM75" s="56"/>
      <c r="CN75" s="56"/>
      <c r="CO75" s="56"/>
      <c r="CP75" s="56"/>
      <c r="CQ75" s="56"/>
      <c r="CR75" s="56"/>
      <c r="CS75" s="56"/>
      <c r="CT75" s="56"/>
      <c r="CU75" s="56"/>
      <c r="CV75" s="56"/>
      <c r="CW75" s="56"/>
      <c r="CX75" s="56"/>
      <c r="CY75" s="56"/>
      <c r="CZ75" s="56"/>
      <c r="DA75" s="56"/>
      <c r="DB75" s="56"/>
      <c r="DC75" s="56"/>
      <c r="DD75" s="56"/>
      <c r="DE75" s="56"/>
      <c r="DF75" s="56"/>
      <c r="DG75" s="56"/>
      <c r="DH75" s="56"/>
      <c r="DI75" s="56"/>
      <c r="DJ75" s="56"/>
      <c r="DK75" s="56"/>
      <c r="DL75" s="56"/>
      <c r="DM75" s="56"/>
      <c r="DN75" s="56"/>
      <c r="DO75" s="56"/>
      <c r="DP75" s="56"/>
      <c r="DQ75" s="56"/>
      <c r="DR75" s="56"/>
      <c r="DS75" s="56"/>
      <c r="DT75" s="56"/>
      <c r="DU75" s="56"/>
      <c r="DV75" s="56"/>
      <c r="DW75" s="56"/>
      <c r="DX75" s="56"/>
      <c r="DY75" s="56"/>
      <c r="DZ75" s="56"/>
      <c r="EA75" s="56"/>
      <c r="EB75" s="56"/>
      <c r="EC75" s="56"/>
      <c r="ED75" s="56"/>
      <c r="EE75" s="56"/>
      <c r="EF75" s="56"/>
      <c r="EG75" s="56"/>
      <c r="EH75" s="56"/>
      <c r="EI75" s="56"/>
      <c r="EJ75" s="56"/>
      <c r="EK75" s="56"/>
      <c r="EL75" s="56"/>
      <c r="EM75" s="56"/>
      <c r="EN75" s="56"/>
      <c r="EO75" s="56"/>
      <c r="EP75" s="56"/>
      <c r="EQ75" s="56"/>
      <c r="ER75" s="56"/>
      <c r="ES75" s="56"/>
      <c r="ET75" s="56"/>
      <c r="EU75" s="56"/>
      <c r="EV75" s="56"/>
      <c r="EW75" s="56"/>
      <c r="EX75" s="56"/>
      <c r="EY75" s="56"/>
      <c r="EZ75" s="56"/>
      <c r="FA75" s="56"/>
    </row>
    <row r="76" spans="1:157" x14ac:dyDescent="0.35">
      <c r="A76" s="65" t="str">
        <f t="shared" si="10"/>
        <v/>
      </c>
      <c r="B76" s="68" t="str">
        <f>Stoff!A76</f>
        <v>Nonylfenoletoksilat</v>
      </c>
      <c r="C76" s="67">
        <f t="shared" si="11"/>
        <v>0</v>
      </c>
      <c r="D76" s="55">
        <f t="shared" si="12"/>
        <v>0</v>
      </c>
      <c r="E76" s="55" t="e">
        <f t="shared" si="13"/>
        <v>#DIV/0!</v>
      </c>
      <c r="F76" s="66" t="e">
        <f t="shared" si="14"/>
        <v>#NUM!</v>
      </c>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c r="CW76" s="56"/>
      <c r="CX76" s="56"/>
      <c r="CY76" s="56"/>
      <c r="CZ76" s="56"/>
      <c r="DA76" s="56"/>
      <c r="DB76" s="56"/>
      <c r="DC76" s="56"/>
      <c r="DD76" s="56"/>
      <c r="DE76" s="56"/>
      <c r="DF76" s="56"/>
      <c r="DG76" s="56"/>
      <c r="DH76" s="56"/>
      <c r="DI76" s="56"/>
      <c r="DJ76" s="56"/>
      <c r="DK76" s="56"/>
      <c r="DL76" s="56"/>
      <c r="DM76" s="56"/>
      <c r="DN76" s="56"/>
      <c r="DO76" s="56"/>
      <c r="DP76" s="56"/>
      <c r="DQ76" s="56"/>
      <c r="DR76" s="56"/>
      <c r="DS76" s="56"/>
      <c r="DT76" s="56"/>
      <c r="DU76" s="56"/>
      <c r="DV76" s="56"/>
      <c r="DW76" s="56"/>
      <c r="DX76" s="56"/>
      <c r="DY76" s="56"/>
      <c r="DZ76" s="56"/>
      <c r="EA76" s="56"/>
      <c r="EB76" s="56"/>
      <c r="EC76" s="56"/>
      <c r="ED76" s="56"/>
      <c r="EE76" s="56"/>
      <c r="EF76" s="56"/>
      <c r="EG76" s="56"/>
      <c r="EH76" s="56"/>
      <c r="EI76" s="56"/>
      <c r="EJ76" s="56"/>
      <c r="EK76" s="56"/>
      <c r="EL76" s="56"/>
      <c r="EM76" s="56"/>
      <c r="EN76" s="56"/>
      <c r="EO76" s="56"/>
      <c r="EP76" s="56"/>
      <c r="EQ76" s="56"/>
      <c r="ER76" s="56"/>
      <c r="ES76" s="56"/>
      <c r="ET76" s="56"/>
      <c r="EU76" s="56"/>
      <c r="EV76" s="56"/>
      <c r="EW76" s="56"/>
      <c r="EX76" s="56"/>
      <c r="EY76" s="56"/>
      <c r="EZ76" s="56"/>
      <c r="FA76" s="56"/>
    </row>
    <row r="77" spans="1:157" x14ac:dyDescent="0.35">
      <c r="A77" s="65" t="str">
        <f t="shared" si="10"/>
        <v/>
      </c>
      <c r="B77" s="68" t="str">
        <f>Stoff!A77</f>
        <v>Oktylfenol</v>
      </c>
      <c r="C77" s="67">
        <f t="shared" si="11"/>
        <v>0</v>
      </c>
      <c r="D77" s="55">
        <f t="shared" si="12"/>
        <v>0</v>
      </c>
      <c r="E77" s="55" t="e">
        <f t="shared" si="13"/>
        <v>#DIV/0!</v>
      </c>
      <c r="F77" s="66" t="e">
        <f t="shared" si="14"/>
        <v>#NUM!</v>
      </c>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c r="BV77" s="56"/>
      <c r="BW77" s="56"/>
      <c r="BX77" s="56"/>
      <c r="BY77" s="56"/>
      <c r="BZ77" s="56"/>
      <c r="CA77" s="56"/>
      <c r="CB77" s="56"/>
      <c r="CC77" s="56"/>
      <c r="CD77" s="56"/>
      <c r="CE77" s="56"/>
      <c r="CF77" s="56"/>
      <c r="CG77" s="56"/>
      <c r="CH77" s="56"/>
      <c r="CI77" s="56"/>
      <c r="CJ77" s="56"/>
      <c r="CK77" s="56"/>
      <c r="CL77" s="56"/>
      <c r="CM77" s="56"/>
      <c r="CN77" s="56"/>
      <c r="CO77" s="56"/>
      <c r="CP77" s="56"/>
      <c r="CQ77" s="56"/>
      <c r="CR77" s="56"/>
      <c r="CS77" s="56"/>
      <c r="CT77" s="56"/>
      <c r="CU77" s="56"/>
      <c r="CV77" s="56"/>
      <c r="CW77" s="56"/>
      <c r="CX77" s="56"/>
      <c r="CY77" s="56"/>
      <c r="CZ77" s="56"/>
      <c r="DA77" s="56"/>
      <c r="DB77" s="56"/>
      <c r="DC77" s="56"/>
      <c r="DD77" s="56"/>
      <c r="DE77" s="56"/>
      <c r="DF77" s="56"/>
      <c r="DG77" s="56"/>
      <c r="DH77" s="56"/>
      <c r="DI77" s="56"/>
      <c r="DJ77" s="56"/>
      <c r="DK77" s="56"/>
      <c r="DL77" s="56"/>
      <c r="DM77" s="56"/>
      <c r="DN77" s="56"/>
      <c r="DO77" s="56"/>
      <c r="DP77" s="56"/>
      <c r="DQ77" s="56"/>
      <c r="DR77" s="56"/>
      <c r="DS77" s="56"/>
      <c r="DT77" s="56"/>
      <c r="DU77" s="56"/>
      <c r="DV77" s="56"/>
      <c r="DW77" s="56"/>
      <c r="DX77" s="56"/>
      <c r="DY77" s="56"/>
      <c r="DZ77" s="56"/>
      <c r="EA77" s="56"/>
      <c r="EB77" s="56"/>
      <c r="EC77" s="56"/>
      <c r="ED77" s="56"/>
      <c r="EE77" s="56"/>
      <c r="EF77" s="56"/>
      <c r="EG77" s="56"/>
      <c r="EH77" s="56"/>
      <c r="EI77" s="56"/>
      <c r="EJ77" s="56"/>
      <c r="EK77" s="56"/>
      <c r="EL77" s="56"/>
      <c r="EM77" s="56"/>
      <c r="EN77" s="56"/>
      <c r="EO77" s="56"/>
      <c r="EP77" s="56"/>
      <c r="EQ77" s="56"/>
      <c r="ER77" s="56"/>
      <c r="ES77" s="56"/>
      <c r="ET77" s="56"/>
      <c r="EU77" s="56"/>
      <c r="EV77" s="56"/>
      <c r="EW77" s="56"/>
      <c r="EX77" s="56"/>
      <c r="EY77" s="56"/>
      <c r="EZ77" s="56"/>
      <c r="FA77" s="56"/>
    </row>
    <row r="78" spans="1:157" x14ac:dyDescent="0.35">
      <c r="A78" s="65" t="str">
        <f t="shared" si="10"/>
        <v/>
      </c>
      <c r="B78" s="68" t="str">
        <f>Stoff!A78</f>
        <v>Oktylfenoletoksilat</v>
      </c>
      <c r="C78" s="67">
        <f t="shared" si="11"/>
        <v>0</v>
      </c>
      <c r="D78" s="55">
        <f t="shared" si="12"/>
        <v>0</v>
      </c>
      <c r="E78" s="55" t="e">
        <f t="shared" si="13"/>
        <v>#DIV/0!</v>
      </c>
      <c r="F78" s="66" t="e">
        <f t="shared" si="14"/>
        <v>#NUM!</v>
      </c>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c r="BR78" s="56"/>
      <c r="BS78" s="56"/>
      <c r="BT78" s="56"/>
      <c r="BU78" s="56"/>
      <c r="BV78" s="56"/>
      <c r="BW78" s="56"/>
      <c r="BX78" s="56"/>
      <c r="BY78" s="56"/>
      <c r="BZ78" s="56"/>
      <c r="CA78" s="56"/>
      <c r="CB78" s="56"/>
      <c r="CC78" s="56"/>
      <c r="CD78" s="56"/>
      <c r="CE78" s="56"/>
      <c r="CF78" s="56"/>
      <c r="CG78" s="56"/>
      <c r="CH78" s="56"/>
      <c r="CI78" s="56"/>
      <c r="CJ78" s="56"/>
      <c r="CK78" s="56"/>
      <c r="CL78" s="56"/>
      <c r="CM78" s="56"/>
      <c r="CN78" s="56"/>
      <c r="CO78" s="56"/>
      <c r="CP78" s="56"/>
      <c r="CQ78" s="56"/>
      <c r="CR78" s="56"/>
      <c r="CS78" s="56"/>
      <c r="CT78" s="56"/>
      <c r="CU78" s="56"/>
      <c r="CV78" s="56"/>
      <c r="CW78" s="56"/>
      <c r="CX78" s="56"/>
      <c r="CY78" s="56"/>
      <c r="CZ78" s="56"/>
      <c r="DA78" s="56"/>
      <c r="DB78" s="56"/>
      <c r="DC78" s="56"/>
      <c r="DD78" s="56"/>
      <c r="DE78" s="56"/>
      <c r="DF78" s="56"/>
      <c r="DG78" s="56"/>
      <c r="DH78" s="56"/>
      <c r="DI78" s="56"/>
      <c r="DJ78" s="56"/>
      <c r="DK78" s="56"/>
      <c r="DL78" s="56"/>
      <c r="DM78" s="56"/>
      <c r="DN78" s="56"/>
      <c r="DO78" s="56"/>
      <c r="DP78" s="56"/>
      <c r="DQ78" s="56"/>
      <c r="DR78" s="56"/>
      <c r="DS78" s="56"/>
      <c r="DT78" s="56"/>
      <c r="DU78" s="56"/>
      <c r="DV78" s="56"/>
      <c r="DW78" s="56"/>
      <c r="DX78" s="56"/>
      <c r="DY78" s="56"/>
      <c r="DZ78" s="56"/>
      <c r="EA78" s="56"/>
      <c r="EB78" s="56"/>
      <c r="EC78" s="56"/>
      <c r="ED78" s="56"/>
      <c r="EE78" s="56"/>
      <c r="EF78" s="56"/>
      <c r="EG78" s="56"/>
      <c r="EH78" s="56"/>
      <c r="EI78" s="56"/>
      <c r="EJ78" s="56"/>
      <c r="EK78" s="56"/>
      <c r="EL78" s="56"/>
      <c r="EM78" s="56"/>
      <c r="EN78" s="56"/>
      <c r="EO78" s="56"/>
      <c r="EP78" s="56"/>
      <c r="EQ78" s="56"/>
      <c r="ER78" s="56"/>
      <c r="ES78" s="56"/>
      <c r="ET78" s="56"/>
      <c r="EU78" s="56"/>
      <c r="EV78" s="56"/>
      <c r="EW78" s="56"/>
      <c r="EX78" s="56"/>
      <c r="EY78" s="56"/>
      <c r="EZ78" s="56"/>
      <c r="FA78" s="56"/>
    </row>
    <row r="79" spans="1:157" x14ac:dyDescent="0.35">
      <c r="A79" s="65" t="str">
        <f t="shared" si="10"/>
        <v/>
      </c>
      <c r="B79" s="68" t="str">
        <f>Stoff!A79</f>
        <v>TBT-oksid</v>
      </c>
      <c r="C79" s="67">
        <f t="shared" si="11"/>
        <v>0</v>
      </c>
      <c r="D79" s="55">
        <f t="shared" si="12"/>
        <v>0</v>
      </c>
      <c r="E79" s="55" t="e">
        <f t="shared" si="13"/>
        <v>#DIV/0!</v>
      </c>
      <c r="F79" s="66" t="e">
        <f t="shared" si="14"/>
        <v>#NUM!</v>
      </c>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c r="BR79" s="56"/>
      <c r="BS79" s="56"/>
      <c r="BT79" s="56"/>
      <c r="BU79" s="56"/>
      <c r="BV79" s="56"/>
      <c r="BW79" s="56"/>
      <c r="BX79" s="56"/>
      <c r="BY79" s="56"/>
      <c r="BZ79" s="56"/>
      <c r="CA79" s="56"/>
      <c r="CB79" s="56"/>
      <c r="CC79" s="56"/>
      <c r="CD79" s="56"/>
      <c r="CE79" s="56"/>
      <c r="CF79" s="56"/>
      <c r="CG79" s="56"/>
      <c r="CH79" s="56"/>
      <c r="CI79" s="56"/>
      <c r="CJ79" s="56"/>
      <c r="CK79" s="56"/>
      <c r="CL79" s="56"/>
      <c r="CM79" s="56"/>
      <c r="CN79" s="56"/>
      <c r="CO79" s="56"/>
      <c r="CP79" s="56"/>
      <c r="CQ79" s="56"/>
      <c r="CR79" s="56"/>
      <c r="CS79" s="56"/>
      <c r="CT79" s="56"/>
      <c r="CU79" s="56"/>
      <c r="CV79" s="56"/>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row>
    <row r="80" spans="1:157" x14ac:dyDescent="0.35">
      <c r="A80" s="65" t="str">
        <f t="shared" si="10"/>
        <v/>
      </c>
      <c r="B80" s="68" t="str">
        <f>Stoff!A80</f>
        <v>Trifenyltinnklorid</v>
      </c>
      <c r="C80" s="67">
        <f t="shared" si="11"/>
        <v>0</v>
      </c>
      <c r="D80" s="55">
        <f t="shared" si="12"/>
        <v>0</v>
      </c>
      <c r="E80" s="55" t="e">
        <f t="shared" si="13"/>
        <v>#DIV/0!</v>
      </c>
      <c r="F80" s="66" t="e">
        <f t="shared" si="14"/>
        <v>#NUM!</v>
      </c>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c r="BR80" s="56"/>
      <c r="BS80" s="56"/>
      <c r="BT80" s="56"/>
      <c r="BU80" s="56"/>
      <c r="BV80" s="56"/>
      <c r="BW80" s="56"/>
      <c r="BX80" s="56"/>
      <c r="BY80" s="56"/>
      <c r="BZ80" s="56"/>
      <c r="CA80" s="56"/>
      <c r="CB80" s="56"/>
      <c r="CC80" s="56"/>
      <c r="CD80" s="56"/>
      <c r="CE80" s="56"/>
      <c r="CF80" s="56"/>
      <c r="CG80" s="56"/>
      <c r="CH80" s="56"/>
      <c r="CI80" s="56"/>
      <c r="CJ80" s="56"/>
      <c r="CK80" s="56"/>
      <c r="CL80" s="56"/>
      <c r="CM80" s="56"/>
      <c r="CN80" s="56"/>
      <c r="CO80" s="56"/>
      <c r="CP80" s="56"/>
      <c r="CQ80" s="56"/>
      <c r="CR80" s="56"/>
      <c r="CS80" s="56"/>
      <c r="CT80" s="56"/>
      <c r="CU80" s="56"/>
      <c r="CV80" s="56"/>
      <c r="CW80" s="56"/>
      <c r="CX80" s="56"/>
      <c r="CY80" s="56"/>
      <c r="CZ80" s="56"/>
      <c r="DA80" s="56"/>
      <c r="DB80" s="56"/>
      <c r="DC80" s="56"/>
      <c r="DD80" s="56"/>
      <c r="DE80" s="56"/>
      <c r="DF80" s="56"/>
      <c r="DG80" s="56"/>
      <c r="DH80" s="56"/>
      <c r="DI80" s="56"/>
      <c r="DJ80" s="56"/>
      <c r="DK80" s="56"/>
      <c r="DL80" s="56"/>
      <c r="DM80" s="56"/>
      <c r="DN80" s="56"/>
      <c r="DO80" s="56"/>
      <c r="DP80" s="56"/>
      <c r="DQ80" s="56"/>
      <c r="DR80" s="56"/>
      <c r="DS80" s="56"/>
      <c r="DT80" s="56"/>
      <c r="DU80" s="56"/>
      <c r="DV80" s="56"/>
      <c r="DW80" s="56"/>
      <c r="DX80" s="56"/>
      <c r="DY80" s="56"/>
      <c r="DZ80" s="56"/>
      <c r="EA80" s="56"/>
      <c r="EB80" s="56"/>
      <c r="EC80" s="56"/>
      <c r="ED80" s="56"/>
      <c r="EE80" s="56"/>
      <c r="EF80" s="56"/>
      <c r="EG80" s="56"/>
      <c r="EH80" s="56"/>
      <c r="EI80" s="56"/>
      <c r="EJ80" s="56"/>
      <c r="EK80" s="56"/>
      <c r="EL80" s="56"/>
      <c r="EM80" s="56"/>
      <c r="EN80" s="56"/>
      <c r="EO80" s="56"/>
      <c r="EP80" s="56"/>
      <c r="EQ80" s="56"/>
      <c r="ER80" s="56"/>
      <c r="ES80" s="56"/>
      <c r="ET80" s="56"/>
      <c r="EU80" s="56"/>
      <c r="EV80" s="56"/>
      <c r="EW80" s="56"/>
      <c r="EX80" s="56"/>
      <c r="EY80" s="56"/>
      <c r="EZ80" s="56"/>
      <c r="FA80" s="56"/>
    </row>
    <row r="81" spans="1:157" x14ac:dyDescent="0.35">
      <c r="A81" s="65" t="str">
        <f t="shared" si="10"/>
        <v/>
      </c>
      <c r="B81" s="68" t="str">
        <f>Stoff!A81</f>
        <v>Di(2-etylheksyl)ftalat</v>
      </c>
      <c r="C81" s="67">
        <f t="shared" si="11"/>
        <v>0</v>
      </c>
      <c r="D81" s="55">
        <f t="shared" si="12"/>
        <v>0</v>
      </c>
      <c r="E81" s="55" t="e">
        <f t="shared" si="13"/>
        <v>#DIV/0!</v>
      </c>
      <c r="F81" s="66" t="e">
        <f t="shared" si="14"/>
        <v>#NUM!</v>
      </c>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row>
    <row r="82" spans="1:157" x14ac:dyDescent="0.35">
      <c r="A82" s="65" t="str">
        <f t="shared" si="10"/>
        <v/>
      </c>
      <c r="B82" s="68" t="str">
        <f>Stoff!A82</f>
        <v>Mellomkjedete kl. paraf.</v>
      </c>
      <c r="C82" s="67">
        <f t="shared" si="11"/>
        <v>0</v>
      </c>
      <c r="D82" s="55">
        <f t="shared" si="12"/>
        <v>0</v>
      </c>
      <c r="E82" s="55" t="e">
        <f t="shared" si="13"/>
        <v>#DIV/0!</v>
      </c>
      <c r="F82" s="66" t="e">
        <f t="shared" si="14"/>
        <v>#NUM!</v>
      </c>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c r="DU82" s="56"/>
      <c r="DV82" s="56"/>
      <c r="DW82" s="56"/>
      <c r="DX82" s="56"/>
      <c r="DY82" s="56"/>
      <c r="DZ82" s="56"/>
      <c r="EA82" s="56"/>
      <c r="EB82" s="56"/>
      <c r="EC82" s="56"/>
      <c r="ED82" s="56"/>
      <c r="EE82" s="56"/>
      <c r="EF82" s="56"/>
      <c r="EG82" s="56"/>
      <c r="EH82" s="56"/>
      <c r="EI82" s="56"/>
      <c r="EJ82" s="56"/>
      <c r="EK82" s="56"/>
      <c r="EL82" s="56"/>
      <c r="EM82" s="56"/>
      <c r="EN82" s="56"/>
      <c r="EO82" s="56"/>
      <c r="EP82" s="56"/>
      <c r="EQ82" s="56"/>
      <c r="ER82" s="56"/>
      <c r="ES82" s="56"/>
      <c r="ET82" s="56"/>
      <c r="EU82" s="56"/>
      <c r="EV82" s="56"/>
      <c r="EW82" s="56"/>
      <c r="EX82" s="56"/>
      <c r="EY82" s="56"/>
      <c r="EZ82" s="56"/>
      <c r="FA82" s="56"/>
    </row>
    <row r="83" spans="1:157" x14ac:dyDescent="0.35">
      <c r="A83" s="65" t="str">
        <f t="shared" si="10"/>
        <v/>
      </c>
      <c r="B83" s="68" t="str">
        <f>Stoff!A83</f>
        <v>Kortkjedete kl. paraf.</v>
      </c>
      <c r="C83" s="67">
        <f t="shared" si="11"/>
        <v>0</v>
      </c>
      <c r="D83" s="55">
        <f t="shared" si="12"/>
        <v>0</v>
      </c>
      <c r="E83" s="55" t="e">
        <f t="shared" si="13"/>
        <v>#DIV/0!</v>
      </c>
      <c r="F83" s="66" t="e">
        <f t="shared" si="14"/>
        <v>#NUM!</v>
      </c>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c r="DU83" s="56"/>
      <c r="DV83" s="56"/>
      <c r="DW83" s="56"/>
      <c r="DX83" s="56"/>
      <c r="DY83" s="56"/>
      <c r="DZ83" s="56"/>
      <c r="EA83" s="56"/>
      <c r="EB83" s="56"/>
      <c r="EC83" s="56"/>
      <c r="ED83" s="56"/>
      <c r="EE83" s="56"/>
      <c r="EF83" s="56"/>
      <c r="EG83" s="56"/>
      <c r="EH83" s="56"/>
      <c r="EI83" s="56"/>
      <c r="EJ83" s="56"/>
      <c r="EK83" s="56"/>
      <c r="EL83" s="56"/>
      <c r="EM83" s="56"/>
      <c r="EN83" s="56"/>
      <c r="EO83" s="56"/>
      <c r="EP83" s="56"/>
      <c r="EQ83" s="56"/>
      <c r="ER83" s="56"/>
      <c r="ES83" s="56"/>
      <c r="ET83" s="56"/>
      <c r="EU83" s="56"/>
      <c r="EV83" s="56"/>
      <c r="EW83" s="56"/>
      <c r="EX83" s="56"/>
      <c r="EY83" s="56"/>
      <c r="EZ83" s="56"/>
      <c r="FA83" s="56"/>
    </row>
    <row r="84" spans="1:157" x14ac:dyDescent="0.35">
      <c r="A84" s="65" t="str">
        <f t="shared" si="10"/>
        <v/>
      </c>
      <c r="B84" s="68" t="str">
        <f>Stoff!A84</f>
        <v>Polyklorerte naftalener</v>
      </c>
      <c r="C84" s="67">
        <f t="shared" si="11"/>
        <v>0</v>
      </c>
      <c r="D84" s="55">
        <f t="shared" si="12"/>
        <v>0</v>
      </c>
      <c r="E84" s="55" t="e">
        <f t="shared" si="13"/>
        <v>#DIV/0!</v>
      </c>
      <c r="F84" s="66" t="e">
        <f t="shared" si="14"/>
        <v>#NUM!</v>
      </c>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c r="DU84" s="56"/>
      <c r="DV84" s="56"/>
      <c r="DW84" s="56"/>
      <c r="DX84" s="56"/>
      <c r="DY84" s="56"/>
      <c r="DZ84" s="56"/>
      <c r="EA84" s="56"/>
      <c r="EB84" s="56"/>
      <c r="EC84" s="56"/>
      <c r="ED84" s="56"/>
      <c r="EE84" s="56"/>
      <c r="EF84" s="56"/>
      <c r="EG84" s="56"/>
      <c r="EH84" s="56"/>
      <c r="EI84" s="56"/>
      <c r="EJ84" s="56"/>
      <c r="EK84" s="56"/>
      <c r="EL84" s="56"/>
      <c r="EM84" s="56"/>
      <c r="EN84" s="56"/>
      <c r="EO84" s="56"/>
      <c r="EP84" s="56"/>
      <c r="EQ84" s="56"/>
      <c r="ER84" s="56"/>
      <c r="ES84" s="56"/>
      <c r="ET84" s="56"/>
      <c r="EU84" s="56"/>
      <c r="EV84" s="56"/>
      <c r="EW84" s="56"/>
      <c r="EX84" s="56"/>
      <c r="EY84" s="56"/>
      <c r="EZ84" s="56"/>
      <c r="FA84" s="56"/>
    </row>
    <row r="85" spans="1:157" x14ac:dyDescent="0.35">
      <c r="A85" s="65" t="str">
        <f t="shared" si="10"/>
        <v/>
      </c>
      <c r="B85" s="68" t="str">
        <f>Stoff!A85</f>
        <v>Trikresylfosfat</v>
      </c>
      <c r="C85" s="67">
        <f t="shared" si="11"/>
        <v>0</v>
      </c>
      <c r="D85" s="55">
        <f t="shared" si="12"/>
        <v>0</v>
      </c>
      <c r="E85" s="55" t="e">
        <f t="shared" si="13"/>
        <v>#DIV/0!</v>
      </c>
      <c r="F85" s="66" t="e">
        <f t="shared" si="14"/>
        <v>#NUM!</v>
      </c>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row>
    <row r="86" spans="1:157" x14ac:dyDescent="0.35">
      <c r="A86" s="65" t="str">
        <f t="shared" si="10"/>
        <v/>
      </c>
      <c r="B86" s="68" t="str">
        <f>Stoff!A86</f>
        <v>Dioksin (TCDD-ekv.)</v>
      </c>
      <c r="C86" s="67">
        <f t="shared" si="11"/>
        <v>0</v>
      </c>
      <c r="D86" s="55">
        <f t="shared" si="12"/>
        <v>0</v>
      </c>
      <c r="E86" s="55" t="e">
        <f t="shared" si="13"/>
        <v>#DIV/0!</v>
      </c>
      <c r="F86" s="66" t="e">
        <f t="shared" si="14"/>
        <v>#NUM!</v>
      </c>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c r="DU86" s="56"/>
      <c r="DV86" s="56"/>
      <c r="DW86" s="56"/>
      <c r="DX86" s="56"/>
      <c r="DY86" s="56"/>
      <c r="DZ86" s="56"/>
      <c r="EA86" s="56"/>
      <c r="EB86" s="56"/>
      <c r="EC86" s="56"/>
      <c r="ED86" s="56"/>
      <c r="EE86" s="56"/>
      <c r="EF86" s="56"/>
      <c r="EG86" s="56"/>
      <c r="EH86" s="56"/>
      <c r="EI86" s="56"/>
      <c r="EJ86" s="56"/>
      <c r="EK86" s="56"/>
      <c r="EL86" s="56"/>
      <c r="EM86" s="56"/>
      <c r="EN86" s="56"/>
      <c r="EO86" s="56"/>
      <c r="EP86" s="56"/>
      <c r="EQ86" s="56"/>
      <c r="ER86" s="56"/>
      <c r="ES86" s="56"/>
      <c r="ET86" s="56"/>
      <c r="EU86" s="56"/>
      <c r="EV86" s="56"/>
      <c r="EW86" s="56"/>
      <c r="EX86" s="56"/>
      <c r="EY86" s="56"/>
      <c r="EZ86" s="56"/>
      <c r="FA86" s="56"/>
    </row>
    <row r="87" spans="1:157" x14ac:dyDescent="0.35">
      <c r="A87" s="65" t="str">
        <f t="shared" ref="A87:A109" si="15">IF(C87&gt;0,"x","")</f>
        <v/>
      </c>
      <c r="B87" s="68" t="str">
        <f>Stoff!A87</f>
        <v>nystoff 1</v>
      </c>
      <c r="C87" s="67">
        <f t="shared" ref="C87:C109" si="16">COUNT(G87:IV87)</f>
        <v>0</v>
      </c>
      <c r="D87" s="55">
        <f t="shared" ref="D87:D109" si="17">MAXA(G87:IV87)</f>
        <v>0</v>
      </c>
      <c r="E87" s="55" t="e">
        <f t="shared" ref="E87:E109" si="18">AVERAGE(G87:IV87)</f>
        <v>#DIV/0!</v>
      </c>
      <c r="F87" s="66" t="e">
        <f t="shared" ref="F87:F109" si="19">D87/MEDIAN(G87:IV87)</f>
        <v>#NUM!</v>
      </c>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c r="DU87" s="56"/>
      <c r="DV87" s="56"/>
      <c r="DW87" s="56"/>
      <c r="DX87" s="56"/>
      <c r="DY87" s="56"/>
      <c r="DZ87" s="56"/>
      <c r="EA87" s="56"/>
      <c r="EB87" s="56"/>
      <c r="EC87" s="56"/>
      <c r="ED87" s="56"/>
      <c r="EE87" s="56"/>
      <c r="EF87" s="56"/>
      <c r="EG87" s="56"/>
      <c r="EH87" s="56"/>
      <c r="EI87" s="56"/>
      <c r="EJ87" s="56"/>
      <c r="EK87" s="56"/>
      <c r="EL87" s="56"/>
      <c r="EM87" s="56"/>
      <c r="EN87" s="56"/>
      <c r="EO87" s="56"/>
      <c r="EP87" s="56"/>
      <c r="EQ87" s="56"/>
      <c r="ER87" s="56"/>
      <c r="ES87" s="56"/>
      <c r="ET87" s="56"/>
      <c r="EU87" s="56"/>
      <c r="EV87" s="56"/>
      <c r="EW87" s="56"/>
      <c r="EX87" s="56"/>
      <c r="EY87" s="56"/>
      <c r="EZ87" s="56"/>
      <c r="FA87" s="56"/>
    </row>
    <row r="88" spans="1:157" x14ac:dyDescent="0.35">
      <c r="A88" s="65" t="str">
        <f t="shared" si="15"/>
        <v/>
      </c>
      <c r="B88" s="68" t="str">
        <f>Stoff!A88</f>
        <v>nystoff 2</v>
      </c>
      <c r="C88" s="67">
        <f t="shared" si="16"/>
        <v>0</v>
      </c>
      <c r="D88" s="55">
        <f t="shared" si="17"/>
        <v>0</v>
      </c>
      <c r="E88" s="55" t="e">
        <f t="shared" si="18"/>
        <v>#DIV/0!</v>
      </c>
      <c r="F88" s="66" t="e">
        <f t="shared" si="19"/>
        <v>#NUM!</v>
      </c>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c r="DU88" s="56"/>
      <c r="DV88" s="56"/>
      <c r="DW88" s="56"/>
      <c r="DX88" s="56"/>
      <c r="DY88" s="56"/>
      <c r="DZ88" s="56"/>
      <c r="EA88" s="56"/>
      <c r="EB88" s="56"/>
      <c r="EC88" s="56"/>
      <c r="ED88" s="56"/>
      <c r="EE88" s="56"/>
      <c r="EF88" s="56"/>
      <c r="EG88" s="56"/>
      <c r="EH88" s="56"/>
      <c r="EI88" s="56"/>
      <c r="EJ88" s="56"/>
      <c r="EK88" s="56"/>
      <c r="EL88" s="56"/>
      <c r="EM88" s="56"/>
      <c r="EN88" s="56"/>
      <c r="EO88" s="56"/>
      <c r="EP88" s="56"/>
      <c r="EQ88" s="56"/>
      <c r="ER88" s="56"/>
      <c r="ES88" s="56"/>
      <c r="ET88" s="56"/>
      <c r="EU88" s="56"/>
      <c r="EV88" s="56"/>
      <c r="EW88" s="56"/>
      <c r="EX88" s="56"/>
      <c r="EY88" s="56"/>
      <c r="EZ88" s="56"/>
      <c r="FA88" s="56"/>
    </row>
    <row r="89" spans="1:157" x14ac:dyDescent="0.35">
      <c r="A89" s="65" t="str">
        <f t="shared" si="15"/>
        <v/>
      </c>
      <c r="B89" s="68" t="str">
        <f>Stoff!A89</f>
        <v>nystoff 3</v>
      </c>
      <c r="C89" s="67">
        <f t="shared" si="16"/>
        <v>0</v>
      </c>
      <c r="D89" s="55">
        <f t="shared" si="17"/>
        <v>0</v>
      </c>
      <c r="E89" s="55" t="e">
        <f t="shared" si="18"/>
        <v>#DIV/0!</v>
      </c>
      <c r="F89" s="66" t="e">
        <f t="shared" si="19"/>
        <v>#NUM!</v>
      </c>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56"/>
      <c r="CG89" s="5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c r="ED89" s="56"/>
      <c r="EE89" s="56"/>
      <c r="EF89" s="56"/>
      <c r="EG89" s="56"/>
      <c r="EH89" s="56"/>
      <c r="EI89" s="56"/>
      <c r="EJ89" s="56"/>
      <c r="EK89" s="56"/>
      <c r="EL89" s="56"/>
      <c r="EM89" s="56"/>
      <c r="EN89" s="56"/>
      <c r="EO89" s="56"/>
      <c r="EP89" s="56"/>
      <c r="EQ89" s="56"/>
      <c r="ER89" s="56"/>
      <c r="ES89" s="56"/>
      <c r="ET89" s="56"/>
      <c r="EU89" s="56"/>
      <c r="EV89" s="56"/>
      <c r="EW89" s="56"/>
      <c r="EX89" s="56"/>
      <c r="EY89" s="56"/>
      <c r="EZ89" s="56"/>
      <c r="FA89" s="56"/>
    </row>
    <row r="90" spans="1:157" x14ac:dyDescent="0.35">
      <c r="A90" s="65" t="str">
        <f t="shared" si="15"/>
        <v/>
      </c>
      <c r="B90" s="68" t="str">
        <f>Stoff!A90</f>
        <v>nystoff 4</v>
      </c>
      <c r="C90" s="67">
        <f t="shared" si="16"/>
        <v>0</v>
      </c>
      <c r="D90" s="55">
        <f t="shared" si="17"/>
        <v>0</v>
      </c>
      <c r="E90" s="55" t="e">
        <f t="shared" si="18"/>
        <v>#DIV/0!</v>
      </c>
      <c r="F90" s="66" t="e">
        <f t="shared" si="19"/>
        <v>#NUM!</v>
      </c>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c r="BR90" s="56"/>
      <c r="BS90" s="56"/>
      <c r="BT90" s="56"/>
      <c r="BU90" s="56"/>
      <c r="BV90" s="56"/>
      <c r="BW90" s="56"/>
      <c r="BX90" s="56"/>
      <c r="BY90" s="56"/>
      <c r="BZ90" s="56"/>
      <c r="CA90" s="56"/>
      <c r="CB90" s="56"/>
      <c r="CC90" s="56"/>
      <c r="CD90" s="56"/>
      <c r="CE90" s="56"/>
      <c r="CF90" s="56"/>
      <c r="CG90" s="56"/>
      <c r="CH90" s="56"/>
      <c r="CI90" s="56"/>
      <c r="CJ90" s="56"/>
      <c r="CK90" s="56"/>
      <c r="CL90" s="56"/>
      <c r="CM90" s="56"/>
      <c r="CN90" s="56"/>
      <c r="CO90" s="56"/>
      <c r="CP90" s="56"/>
      <c r="CQ90" s="56"/>
      <c r="CR90" s="56"/>
      <c r="CS90" s="56"/>
      <c r="CT90" s="56"/>
      <c r="CU90" s="56"/>
      <c r="CV90" s="56"/>
      <c r="CW90" s="56"/>
      <c r="CX90" s="56"/>
      <c r="CY90" s="56"/>
      <c r="CZ90" s="56"/>
      <c r="DA90" s="56"/>
      <c r="DB90" s="56"/>
      <c r="DC90" s="56"/>
      <c r="DD90" s="56"/>
      <c r="DE90" s="56"/>
      <c r="DF90" s="56"/>
      <c r="DG90" s="56"/>
      <c r="DH90" s="56"/>
      <c r="DI90" s="56"/>
      <c r="DJ90" s="56"/>
      <c r="DK90" s="56"/>
      <c r="DL90" s="56"/>
      <c r="DM90" s="56"/>
      <c r="DN90" s="56"/>
      <c r="DO90" s="56"/>
      <c r="DP90" s="56"/>
      <c r="DQ90" s="56"/>
      <c r="DR90" s="56"/>
      <c r="DS90" s="56"/>
      <c r="DT90" s="56"/>
      <c r="DU90" s="56"/>
      <c r="DV90" s="56"/>
      <c r="DW90" s="56"/>
      <c r="DX90" s="56"/>
      <c r="DY90" s="56"/>
      <c r="DZ90" s="56"/>
      <c r="EA90" s="56"/>
      <c r="EB90" s="56"/>
      <c r="EC90" s="56"/>
      <c r="ED90" s="56"/>
      <c r="EE90" s="56"/>
      <c r="EF90" s="56"/>
      <c r="EG90" s="56"/>
      <c r="EH90" s="56"/>
      <c r="EI90" s="56"/>
      <c r="EJ90" s="56"/>
      <c r="EK90" s="56"/>
      <c r="EL90" s="56"/>
      <c r="EM90" s="56"/>
      <c r="EN90" s="56"/>
      <c r="EO90" s="56"/>
      <c r="EP90" s="56"/>
      <c r="EQ90" s="56"/>
      <c r="ER90" s="56"/>
      <c r="ES90" s="56"/>
      <c r="ET90" s="56"/>
      <c r="EU90" s="56"/>
      <c r="EV90" s="56"/>
      <c r="EW90" s="56"/>
      <c r="EX90" s="56"/>
      <c r="EY90" s="56"/>
      <c r="EZ90" s="56"/>
      <c r="FA90" s="56"/>
    </row>
    <row r="91" spans="1:157" x14ac:dyDescent="0.35">
      <c r="A91" s="65" t="str">
        <f t="shared" si="15"/>
        <v/>
      </c>
      <c r="B91" s="68" t="str">
        <f>Stoff!A91</f>
        <v>nystoff 5</v>
      </c>
      <c r="C91" s="67">
        <f t="shared" si="16"/>
        <v>0</v>
      </c>
      <c r="D91" s="55">
        <f t="shared" si="17"/>
        <v>0</v>
      </c>
      <c r="E91" s="55" t="e">
        <f t="shared" si="18"/>
        <v>#DIV/0!</v>
      </c>
      <c r="F91" s="66" t="e">
        <f t="shared" si="19"/>
        <v>#NUM!</v>
      </c>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c r="BR91" s="56"/>
      <c r="BS91" s="56"/>
      <c r="BT91" s="56"/>
      <c r="BU91" s="56"/>
      <c r="BV91" s="56"/>
      <c r="BW91" s="56"/>
      <c r="BX91" s="56"/>
      <c r="BY91" s="56"/>
      <c r="BZ91" s="56"/>
      <c r="CA91" s="56"/>
      <c r="CB91" s="56"/>
      <c r="CC91" s="56"/>
      <c r="CD91" s="56"/>
      <c r="CE91" s="56"/>
      <c r="CF91" s="56"/>
      <c r="CG91" s="56"/>
      <c r="CH91" s="56"/>
      <c r="CI91" s="56"/>
      <c r="CJ91" s="56"/>
      <c r="CK91" s="56"/>
      <c r="CL91" s="56"/>
      <c r="CM91" s="56"/>
      <c r="CN91" s="56"/>
      <c r="CO91" s="56"/>
      <c r="CP91" s="56"/>
      <c r="CQ91" s="56"/>
      <c r="CR91" s="56"/>
      <c r="CS91" s="56"/>
      <c r="CT91" s="56"/>
      <c r="CU91" s="56"/>
      <c r="CV91" s="56"/>
      <c r="CW91" s="56"/>
      <c r="CX91" s="56"/>
      <c r="CY91" s="56"/>
      <c r="CZ91" s="56"/>
      <c r="DA91" s="56"/>
      <c r="DB91" s="56"/>
      <c r="DC91" s="56"/>
      <c r="DD91" s="56"/>
      <c r="DE91" s="56"/>
      <c r="DF91" s="56"/>
      <c r="DG91" s="56"/>
      <c r="DH91" s="56"/>
      <c r="DI91" s="56"/>
      <c r="DJ91" s="56"/>
      <c r="DK91" s="56"/>
      <c r="DL91" s="56"/>
      <c r="DM91" s="56"/>
      <c r="DN91" s="56"/>
      <c r="DO91" s="56"/>
      <c r="DP91" s="56"/>
      <c r="DQ91" s="56"/>
      <c r="DR91" s="56"/>
      <c r="DS91" s="56"/>
      <c r="DT91" s="56"/>
      <c r="DU91" s="56"/>
      <c r="DV91" s="56"/>
      <c r="DW91" s="56"/>
      <c r="DX91" s="56"/>
      <c r="DY91" s="56"/>
      <c r="DZ91" s="56"/>
      <c r="EA91" s="56"/>
      <c r="EB91" s="56"/>
      <c r="EC91" s="56"/>
      <c r="ED91" s="56"/>
      <c r="EE91" s="56"/>
      <c r="EF91" s="56"/>
      <c r="EG91" s="56"/>
      <c r="EH91" s="56"/>
      <c r="EI91" s="56"/>
      <c r="EJ91" s="56"/>
      <c r="EK91" s="56"/>
      <c r="EL91" s="56"/>
      <c r="EM91" s="56"/>
      <c r="EN91" s="56"/>
      <c r="EO91" s="56"/>
      <c r="EP91" s="56"/>
      <c r="EQ91" s="56"/>
      <c r="ER91" s="56"/>
      <c r="ES91" s="56"/>
      <c r="ET91" s="56"/>
      <c r="EU91" s="56"/>
      <c r="EV91" s="56"/>
      <c r="EW91" s="56"/>
      <c r="EX91" s="56"/>
      <c r="EY91" s="56"/>
      <c r="EZ91" s="56"/>
      <c r="FA91" s="56"/>
    </row>
    <row r="92" spans="1:157" x14ac:dyDescent="0.35">
      <c r="A92" s="65" t="str">
        <f t="shared" si="15"/>
        <v/>
      </c>
      <c r="B92" s="68" t="str">
        <f>Stoff!A92</f>
        <v>nystoff 6</v>
      </c>
      <c r="C92" s="67">
        <f t="shared" si="16"/>
        <v>0</v>
      </c>
      <c r="D92" s="55">
        <f t="shared" si="17"/>
        <v>0</v>
      </c>
      <c r="E92" s="55" t="e">
        <f t="shared" si="18"/>
        <v>#DIV/0!</v>
      </c>
      <c r="F92" s="66" t="e">
        <f t="shared" si="19"/>
        <v>#NUM!</v>
      </c>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c r="BM92" s="56"/>
      <c r="BN92" s="56"/>
      <c r="BO92" s="56"/>
      <c r="BP92" s="56"/>
      <c r="BQ92" s="56"/>
      <c r="BR92" s="56"/>
      <c r="BS92" s="56"/>
      <c r="BT92" s="56"/>
      <c r="BU92" s="56"/>
      <c r="BV92" s="56"/>
      <c r="BW92" s="56"/>
      <c r="BX92" s="56"/>
      <c r="BY92" s="56"/>
      <c r="BZ92" s="56"/>
      <c r="CA92" s="56"/>
      <c r="CB92" s="56"/>
      <c r="CC92" s="56"/>
      <c r="CD92" s="56"/>
      <c r="CE92" s="56"/>
      <c r="CF92" s="56"/>
      <c r="CG92" s="56"/>
      <c r="CH92" s="56"/>
      <c r="CI92" s="56"/>
      <c r="CJ92" s="56"/>
      <c r="CK92" s="56"/>
      <c r="CL92" s="56"/>
      <c r="CM92" s="56"/>
      <c r="CN92" s="56"/>
      <c r="CO92" s="56"/>
      <c r="CP92" s="56"/>
      <c r="CQ92" s="56"/>
      <c r="CR92" s="56"/>
      <c r="CS92" s="56"/>
      <c r="CT92" s="56"/>
      <c r="CU92" s="56"/>
      <c r="CV92" s="56"/>
      <c r="CW92" s="56"/>
      <c r="CX92" s="56"/>
      <c r="CY92" s="56"/>
      <c r="CZ92" s="56"/>
      <c r="DA92" s="56"/>
      <c r="DB92" s="56"/>
      <c r="DC92" s="56"/>
      <c r="DD92" s="56"/>
      <c r="DE92" s="56"/>
      <c r="DF92" s="56"/>
      <c r="DG92" s="56"/>
      <c r="DH92" s="56"/>
      <c r="DI92" s="56"/>
      <c r="DJ92" s="56"/>
      <c r="DK92" s="56"/>
      <c r="DL92" s="56"/>
      <c r="DM92" s="56"/>
      <c r="DN92" s="56"/>
      <c r="DO92" s="56"/>
      <c r="DP92" s="56"/>
      <c r="DQ92" s="56"/>
      <c r="DR92" s="56"/>
      <c r="DS92" s="56"/>
      <c r="DT92" s="56"/>
      <c r="DU92" s="56"/>
      <c r="DV92" s="56"/>
      <c r="DW92" s="56"/>
      <c r="DX92" s="56"/>
      <c r="DY92" s="56"/>
      <c r="DZ92" s="56"/>
      <c r="EA92" s="56"/>
      <c r="EB92" s="56"/>
      <c r="EC92" s="56"/>
      <c r="ED92" s="56"/>
      <c r="EE92" s="56"/>
      <c r="EF92" s="56"/>
      <c r="EG92" s="56"/>
      <c r="EH92" s="56"/>
      <c r="EI92" s="56"/>
      <c r="EJ92" s="56"/>
      <c r="EK92" s="56"/>
      <c r="EL92" s="56"/>
      <c r="EM92" s="56"/>
      <c r="EN92" s="56"/>
      <c r="EO92" s="56"/>
      <c r="EP92" s="56"/>
      <c r="EQ92" s="56"/>
      <c r="ER92" s="56"/>
      <c r="ES92" s="56"/>
      <c r="ET92" s="56"/>
      <c r="EU92" s="56"/>
      <c r="EV92" s="56"/>
      <c r="EW92" s="56"/>
      <c r="EX92" s="56"/>
      <c r="EY92" s="56"/>
      <c r="EZ92" s="56"/>
      <c r="FA92" s="56"/>
    </row>
    <row r="93" spans="1:157" x14ac:dyDescent="0.35">
      <c r="A93" s="65" t="str">
        <f t="shared" si="15"/>
        <v/>
      </c>
      <c r="B93" s="68" t="str">
        <f>Stoff!A93</f>
        <v>nystoff 7</v>
      </c>
      <c r="C93" s="67">
        <f t="shared" si="16"/>
        <v>0</v>
      </c>
      <c r="D93" s="55">
        <f t="shared" si="17"/>
        <v>0</v>
      </c>
      <c r="E93" s="55" t="e">
        <f t="shared" si="18"/>
        <v>#DIV/0!</v>
      </c>
      <c r="F93" s="66" t="e">
        <f t="shared" si="19"/>
        <v>#NUM!</v>
      </c>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c r="BM93" s="56"/>
      <c r="BN93" s="56"/>
      <c r="BO93" s="56"/>
      <c r="BP93" s="56"/>
      <c r="BQ93" s="56"/>
      <c r="BR93" s="56"/>
      <c r="BS93" s="56"/>
      <c r="BT93" s="56"/>
      <c r="BU93" s="56"/>
      <c r="BV93" s="56"/>
      <c r="BW93" s="56"/>
      <c r="BX93" s="56"/>
      <c r="BY93" s="56"/>
      <c r="BZ93" s="56"/>
      <c r="CA93" s="56"/>
      <c r="CB93" s="56"/>
      <c r="CC93" s="56"/>
      <c r="CD93" s="56"/>
      <c r="CE93" s="56"/>
      <c r="CF93" s="56"/>
      <c r="CG93" s="56"/>
      <c r="CH93" s="56"/>
      <c r="CI93" s="56"/>
      <c r="CJ93" s="56"/>
      <c r="CK93" s="56"/>
      <c r="CL93" s="56"/>
      <c r="CM93" s="56"/>
      <c r="CN93" s="56"/>
      <c r="CO93" s="56"/>
      <c r="CP93" s="56"/>
      <c r="CQ93" s="56"/>
      <c r="CR93" s="56"/>
      <c r="CS93" s="56"/>
      <c r="CT93" s="56"/>
      <c r="CU93" s="56"/>
      <c r="CV93" s="56"/>
      <c r="CW93" s="56"/>
      <c r="CX93" s="56"/>
      <c r="CY93" s="56"/>
      <c r="CZ93" s="56"/>
      <c r="DA93" s="56"/>
      <c r="DB93" s="56"/>
      <c r="DC93" s="56"/>
      <c r="DD93" s="56"/>
      <c r="DE93" s="56"/>
      <c r="DF93" s="56"/>
      <c r="DG93" s="56"/>
      <c r="DH93" s="56"/>
      <c r="DI93" s="56"/>
      <c r="DJ93" s="56"/>
      <c r="DK93" s="56"/>
      <c r="DL93" s="56"/>
      <c r="DM93" s="56"/>
      <c r="DN93" s="56"/>
      <c r="DO93" s="56"/>
      <c r="DP93" s="56"/>
      <c r="DQ93" s="56"/>
      <c r="DR93" s="56"/>
      <c r="DS93" s="56"/>
      <c r="DT93" s="56"/>
      <c r="DU93" s="56"/>
      <c r="DV93" s="56"/>
      <c r="DW93" s="56"/>
      <c r="DX93" s="56"/>
      <c r="DY93" s="56"/>
      <c r="DZ93" s="56"/>
      <c r="EA93" s="56"/>
      <c r="EB93" s="56"/>
      <c r="EC93" s="56"/>
      <c r="ED93" s="56"/>
      <c r="EE93" s="56"/>
      <c r="EF93" s="56"/>
      <c r="EG93" s="56"/>
      <c r="EH93" s="56"/>
      <c r="EI93" s="56"/>
      <c r="EJ93" s="56"/>
      <c r="EK93" s="56"/>
      <c r="EL93" s="56"/>
      <c r="EM93" s="56"/>
      <c r="EN93" s="56"/>
      <c r="EO93" s="56"/>
      <c r="EP93" s="56"/>
      <c r="EQ93" s="56"/>
      <c r="ER93" s="56"/>
      <c r="ES93" s="56"/>
      <c r="ET93" s="56"/>
      <c r="EU93" s="56"/>
      <c r="EV93" s="56"/>
      <c r="EW93" s="56"/>
      <c r="EX93" s="56"/>
      <c r="EY93" s="56"/>
      <c r="EZ93" s="56"/>
      <c r="FA93" s="56"/>
    </row>
    <row r="94" spans="1:157" x14ac:dyDescent="0.35">
      <c r="A94" s="65" t="str">
        <f t="shared" si="15"/>
        <v/>
      </c>
      <c r="B94" s="68" t="str">
        <f>Stoff!A94</f>
        <v>nystoff 8</v>
      </c>
      <c r="C94" s="67">
        <f t="shared" si="16"/>
        <v>0</v>
      </c>
      <c r="D94" s="55">
        <f t="shared" si="17"/>
        <v>0</v>
      </c>
      <c r="E94" s="55" t="e">
        <f t="shared" si="18"/>
        <v>#DIV/0!</v>
      </c>
      <c r="F94" s="66" t="e">
        <f t="shared" si="19"/>
        <v>#NUM!</v>
      </c>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c r="BM94" s="56"/>
      <c r="BN94" s="56"/>
      <c r="BO94" s="56"/>
      <c r="BP94" s="56"/>
      <c r="BQ94" s="56"/>
      <c r="BR94" s="56"/>
      <c r="BS94" s="56"/>
      <c r="BT94" s="56"/>
      <c r="BU94" s="56"/>
      <c r="BV94" s="56"/>
      <c r="BW94" s="56"/>
      <c r="BX94" s="56"/>
      <c r="BY94" s="56"/>
      <c r="BZ94" s="56"/>
      <c r="CA94" s="56"/>
      <c r="CB94" s="56"/>
      <c r="CC94" s="56"/>
      <c r="CD94" s="56"/>
      <c r="CE94" s="56"/>
      <c r="CF94" s="56"/>
      <c r="CG94" s="56"/>
      <c r="CH94" s="56"/>
      <c r="CI94" s="56"/>
      <c r="CJ94" s="56"/>
      <c r="CK94" s="56"/>
      <c r="CL94" s="56"/>
      <c r="CM94" s="56"/>
      <c r="CN94" s="56"/>
      <c r="CO94" s="56"/>
      <c r="CP94" s="56"/>
      <c r="CQ94" s="56"/>
      <c r="CR94" s="56"/>
      <c r="CS94" s="56"/>
      <c r="CT94" s="56"/>
      <c r="CU94" s="56"/>
      <c r="CV94" s="56"/>
      <c r="CW94" s="56"/>
      <c r="CX94" s="56"/>
      <c r="CY94" s="56"/>
      <c r="CZ94" s="56"/>
      <c r="DA94" s="56"/>
      <c r="DB94" s="56"/>
      <c r="DC94" s="56"/>
      <c r="DD94" s="56"/>
      <c r="DE94" s="56"/>
      <c r="DF94" s="56"/>
      <c r="DG94" s="56"/>
      <c r="DH94" s="56"/>
      <c r="DI94" s="56"/>
      <c r="DJ94" s="56"/>
      <c r="DK94" s="56"/>
      <c r="DL94" s="56"/>
      <c r="DM94" s="56"/>
      <c r="DN94" s="56"/>
      <c r="DO94" s="56"/>
      <c r="DP94" s="56"/>
      <c r="DQ94" s="56"/>
      <c r="DR94" s="56"/>
      <c r="DS94" s="56"/>
      <c r="DT94" s="56"/>
      <c r="DU94" s="56"/>
      <c r="DV94" s="56"/>
      <c r="DW94" s="56"/>
      <c r="DX94" s="56"/>
      <c r="DY94" s="56"/>
      <c r="DZ94" s="56"/>
      <c r="EA94" s="56"/>
      <c r="EB94" s="56"/>
      <c r="EC94" s="56"/>
      <c r="ED94" s="56"/>
      <c r="EE94" s="56"/>
      <c r="EF94" s="56"/>
      <c r="EG94" s="56"/>
      <c r="EH94" s="56"/>
      <c r="EI94" s="56"/>
      <c r="EJ94" s="56"/>
      <c r="EK94" s="56"/>
      <c r="EL94" s="56"/>
      <c r="EM94" s="56"/>
      <c r="EN94" s="56"/>
      <c r="EO94" s="56"/>
      <c r="EP94" s="56"/>
      <c r="EQ94" s="56"/>
      <c r="ER94" s="56"/>
      <c r="ES94" s="56"/>
      <c r="ET94" s="56"/>
      <c r="EU94" s="56"/>
      <c r="EV94" s="56"/>
      <c r="EW94" s="56"/>
      <c r="EX94" s="56"/>
      <c r="EY94" s="56"/>
      <c r="EZ94" s="56"/>
      <c r="FA94" s="56"/>
    </row>
    <row r="95" spans="1:157" x14ac:dyDescent="0.35">
      <c r="A95" s="65" t="str">
        <f t="shared" si="15"/>
        <v/>
      </c>
      <c r="B95" s="68" t="str">
        <f>Stoff!A95</f>
        <v>nystoff 9</v>
      </c>
      <c r="C95" s="67">
        <f t="shared" si="16"/>
        <v>0</v>
      </c>
      <c r="D95" s="55">
        <f t="shared" si="17"/>
        <v>0</v>
      </c>
      <c r="E95" s="55" t="e">
        <f t="shared" si="18"/>
        <v>#DIV/0!</v>
      </c>
      <c r="F95" s="66" t="e">
        <f t="shared" si="19"/>
        <v>#NUM!</v>
      </c>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6"/>
      <c r="BN95" s="56"/>
      <c r="BO95" s="56"/>
      <c r="BP95" s="56"/>
      <c r="BQ95" s="56"/>
      <c r="BR95" s="56"/>
      <c r="BS95" s="56"/>
      <c r="BT95" s="56"/>
      <c r="BU95" s="56"/>
      <c r="BV95" s="56"/>
      <c r="BW95" s="56"/>
      <c r="BX95" s="56"/>
      <c r="BY95" s="56"/>
      <c r="BZ95" s="56"/>
      <c r="CA95" s="56"/>
      <c r="CB95" s="56"/>
      <c r="CC95" s="56"/>
      <c r="CD95" s="56"/>
      <c r="CE95" s="56"/>
      <c r="CF95" s="56"/>
      <c r="CG95" s="56"/>
      <c r="CH95" s="56"/>
      <c r="CI95" s="56"/>
      <c r="CJ95" s="56"/>
      <c r="CK95" s="56"/>
      <c r="CL95" s="56"/>
      <c r="CM95" s="56"/>
      <c r="CN95" s="56"/>
      <c r="CO95" s="56"/>
      <c r="CP95" s="56"/>
      <c r="CQ95" s="56"/>
      <c r="CR95" s="56"/>
      <c r="CS95" s="56"/>
      <c r="CT95" s="56"/>
      <c r="CU95" s="56"/>
      <c r="CV95" s="56"/>
      <c r="CW95" s="56"/>
      <c r="CX95" s="56"/>
      <c r="CY95" s="56"/>
      <c r="CZ95" s="56"/>
      <c r="DA95" s="56"/>
      <c r="DB95" s="56"/>
      <c r="DC95" s="56"/>
      <c r="DD95" s="56"/>
      <c r="DE95" s="56"/>
      <c r="DF95" s="56"/>
      <c r="DG95" s="56"/>
      <c r="DH95" s="56"/>
      <c r="DI95" s="56"/>
      <c r="DJ95" s="56"/>
      <c r="DK95" s="56"/>
      <c r="DL95" s="56"/>
      <c r="DM95" s="56"/>
      <c r="DN95" s="56"/>
      <c r="DO95" s="56"/>
      <c r="DP95" s="56"/>
      <c r="DQ95" s="56"/>
      <c r="DR95" s="56"/>
      <c r="DS95" s="56"/>
      <c r="DT95" s="56"/>
      <c r="DU95" s="56"/>
      <c r="DV95" s="56"/>
      <c r="DW95" s="56"/>
      <c r="DX95" s="56"/>
      <c r="DY95" s="56"/>
      <c r="DZ95" s="56"/>
      <c r="EA95" s="56"/>
      <c r="EB95" s="56"/>
      <c r="EC95" s="56"/>
      <c r="ED95" s="56"/>
      <c r="EE95" s="56"/>
      <c r="EF95" s="56"/>
      <c r="EG95" s="56"/>
      <c r="EH95" s="56"/>
      <c r="EI95" s="56"/>
      <c r="EJ95" s="56"/>
      <c r="EK95" s="56"/>
      <c r="EL95" s="56"/>
      <c r="EM95" s="56"/>
      <c r="EN95" s="56"/>
      <c r="EO95" s="56"/>
      <c r="EP95" s="56"/>
      <c r="EQ95" s="56"/>
      <c r="ER95" s="56"/>
      <c r="ES95" s="56"/>
      <c r="ET95" s="56"/>
      <c r="EU95" s="56"/>
      <c r="EV95" s="56"/>
      <c r="EW95" s="56"/>
      <c r="EX95" s="56"/>
      <c r="EY95" s="56"/>
      <c r="EZ95" s="56"/>
      <c r="FA95" s="56"/>
    </row>
    <row r="96" spans="1:157" x14ac:dyDescent="0.35">
      <c r="A96" s="65" t="str">
        <f t="shared" si="15"/>
        <v/>
      </c>
      <c r="B96" s="68" t="str">
        <f>Stoff!A96</f>
        <v>nystoff 10</v>
      </c>
      <c r="C96" s="67">
        <f t="shared" si="16"/>
        <v>0</v>
      </c>
      <c r="D96" s="55">
        <f t="shared" si="17"/>
        <v>0</v>
      </c>
      <c r="E96" s="55" t="e">
        <f t="shared" si="18"/>
        <v>#DIV/0!</v>
      </c>
      <c r="F96" s="66" t="e">
        <f t="shared" si="19"/>
        <v>#NUM!</v>
      </c>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c r="BM96" s="56"/>
      <c r="BN96" s="56"/>
      <c r="BO96" s="56"/>
      <c r="BP96" s="56"/>
      <c r="BQ96" s="56"/>
      <c r="BR96" s="56"/>
      <c r="BS96" s="56"/>
      <c r="BT96" s="56"/>
      <c r="BU96" s="56"/>
      <c r="BV96" s="56"/>
      <c r="BW96" s="56"/>
      <c r="BX96" s="56"/>
      <c r="BY96" s="56"/>
      <c r="BZ96" s="56"/>
      <c r="CA96" s="56"/>
      <c r="CB96" s="56"/>
      <c r="CC96" s="56"/>
      <c r="CD96" s="56"/>
      <c r="CE96" s="56"/>
      <c r="CF96" s="56"/>
      <c r="CG96" s="56"/>
      <c r="CH96" s="56"/>
      <c r="CI96" s="56"/>
      <c r="CJ96" s="56"/>
      <c r="CK96" s="56"/>
      <c r="CL96" s="56"/>
      <c r="CM96" s="56"/>
      <c r="CN96" s="56"/>
      <c r="CO96" s="56"/>
      <c r="CP96" s="56"/>
      <c r="CQ96" s="56"/>
      <c r="CR96" s="56"/>
      <c r="CS96" s="56"/>
      <c r="CT96" s="56"/>
      <c r="CU96" s="56"/>
      <c r="CV96" s="56"/>
      <c r="CW96" s="56"/>
      <c r="CX96" s="56"/>
      <c r="CY96" s="56"/>
      <c r="CZ96" s="56"/>
      <c r="DA96" s="56"/>
      <c r="DB96" s="56"/>
      <c r="DC96" s="56"/>
      <c r="DD96" s="56"/>
      <c r="DE96" s="56"/>
      <c r="DF96" s="56"/>
      <c r="DG96" s="56"/>
      <c r="DH96" s="56"/>
      <c r="DI96" s="56"/>
      <c r="DJ96" s="56"/>
      <c r="DK96" s="56"/>
      <c r="DL96" s="56"/>
      <c r="DM96" s="56"/>
      <c r="DN96" s="56"/>
      <c r="DO96" s="56"/>
      <c r="DP96" s="56"/>
      <c r="DQ96" s="56"/>
      <c r="DR96" s="56"/>
      <c r="DS96" s="56"/>
      <c r="DT96" s="56"/>
      <c r="DU96" s="56"/>
      <c r="DV96" s="56"/>
      <c r="DW96" s="56"/>
      <c r="DX96" s="56"/>
      <c r="DY96" s="56"/>
      <c r="DZ96" s="56"/>
      <c r="EA96" s="56"/>
      <c r="EB96" s="56"/>
      <c r="EC96" s="56"/>
      <c r="ED96" s="56"/>
      <c r="EE96" s="56"/>
      <c r="EF96" s="56"/>
      <c r="EG96" s="56"/>
      <c r="EH96" s="56"/>
      <c r="EI96" s="56"/>
      <c r="EJ96" s="56"/>
      <c r="EK96" s="56"/>
      <c r="EL96" s="56"/>
      <c r="EM96" s="56"/>
      <c r="EN96" s="56"/>
      <c r="EO96" s="56"/>
      <c r="EP96" s="56"/>
      <c r="EQ96" s="56"/>
      <c r="ER96" s="56"/>
      <c r="ES96" s="56"/>
      <c r="ET96" s="56"/>
      <c r="EU96" s="56"/>
      <c r="EV96" s="56"/>
      <c r="EW96" s="56"/>
      <c r="EX96" s="56"/>
      <c r="EY96" s="56"/>
      <c r="EZ96" s="56"/>
      <c r="FA96" s="56"/>
    </row>
    <row r="97" spans="1:157" x14ac:dyDescent="0.35">
      <c r="A97" s="65" t="str">
        <f t="shared" si="15"/>
        <v/>
      </c>
      <c r="B97" s="68" t="str">
        <f>Stoff!A97</f>
        <v>nystoff 11</v>
      </c>
      <c r="C97" s="67">
        <f t="shared" si="16"/>
        <v>0</v>
      </c>
      <c r="D97" s="55">
        <f t="shared" si="17"/>
        <v>0</v>
      </c>
      <c r="E97" s="55" t="e">
        <f t="shared" si="18"/>
        <v>#DIV/0!</v>
      </c>
      <c r="F97" s="66" t="e">
        <f t="shared" si="19"/>
        <v>#NUM!</v>
      </c>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c r="BM97" s="56"/>
      <c r="BN97" s="56"/>
      <c r="BO97" s="56"/>
      <c r="BP97" s="56"/>
      <c r="BQ97" s="56"/>
      <c r="BR97" s="56"/>
      <c r="BS97" s="56"/>
      <c r="BT97" s="56"/>
      <c r="BU97" s="56"/>
      <c r="BV97" s="56"/>
      <c r="BW97" s="56"/>
      <c r="BX97" s="56"/>
      <c r="BY97" s="56"/>
      <c r="BZ97" s="56"/>
      <c r="CA97" s="56"/>
      <c r="CB97" s="56"/>
      <c r="CC97" s="56"/>
      <c r="CD97" s="56"/>
      <c r="CE97" s="56"/>
      <c r="CF97" s="56"/>
      <c r="CG97" s="56"/>
      <c r="CH97" s="56"/>
      <c r="CI97" s="56"/>
      <c r="CJ97" s="56"/>
      <c r="CK97" s="56"/>
      <c r="CL97" s="56"/>
      <c r="CM97" s="56"/>
      <c r="CN97" s="56"/>
      <c r="CO97" s="56"/>
      <c r="CP97" s="56"/>
      <c r="CQ97" s="56"/>
      <c r="CR97" s="56"/>
      <c r="CS97" s="56"/>
      <c r="CT97" s="56"/>
      <c r="CU97" s="56"/>
      <c r="CV97" s="56"/>
      <c r="CW97" s="56"/>
      <c r="CX97" s="56"/>
      <c r="CY97" s="56"/>
      <c r="CZ97" s="56"/>
      <c r="DA97" s="56"/>
      <c r="DB97" s="56"/>
      <c r="DC97" s="56"/>
      <c r="DD97" s="56"/>
      <c r="DE97" s="56"/>
      <c r="DF97" s="56"/>
      <c r="DG97" s="56"/>
      <c r="DH97" s="56"/>
      <c r="DI97" s="56"/>
      <c r="DJ97" s="56"/>
      <c r="DK97" s="56"/>
      <c r="DL97" s="56"/>
      <c r="DM97" s="56"/>
      <c r="DN97" s="56"/>
      <c r="DO97" s="56"/>
      <c r="DP97" s="56"/>
      <c r="DQ97" s="56"/>
      <c r="DR97" s="56"/>
      <c r="DS97" s="56"/>
      <c r="DT97" s="56"/>
      <c r="DU97" s="56"/>
      <c r="DV97" s="56"/>
      <c r="DW97" s="56"/>
      <c r="DX97" s="56"/>
      <c r="DY97" s="56"/>
      <c r="DZ97" s="56"/>
      <c r="EA97" s="56"/>
      <c r="EB97" s="56"/>
      <c r="EC97" s="56"/>
      <c r="ED97" s="56"/>
      <c r="EE97" s="56"/>
      <c r="EF97" s="56"/>
      <c r="EG97" s="56"/>
      <c r="EH97" s="56"/>
      <c r="EI97" s="56"/>
      <c r="EJ97" s="56"/>
      <c r="EK97" s="56"/>
      <c r="EL97" s="56"/>
      <c r="EM97" s="56"/>
      <c r="EN97" s="56"/>
      <c r="EO97" s="56"/>
      <c r="EP97" s="56"/>
      <c r="EQ97" s="56"/>
      <c r="ER97" s="56"/>
      <c r="ES97" s="56"/>
      <c r="ET97" s="56"/>
      <c r="EU97" s="56"/>
      <c r="EV97" s="56"/>
      <c r="EW97" s="56"/>
      <c r="EX97" s="56"/>
      <c r="EY97" s="56"/>
      <c r="EZ97" s="56"/>
      <c r="FA97" s="56"/>
    </row>
    <row r="98" spans="1:157" x14ac:dyDescent="0.35">
      <c r="A98" s="65" t="str">
        <f t="shared" si="15"/>
        <v/>
      </c>
      <c r="B98" s="68" t="str">
        <f>Stoff!A98</f>
        <v>nystoff 12</v>
      </c>
      <c r="C98" s="67">
        <f t="shared" si="16"/>
        <v>0</v>
      </c>
      <c r="D98" s="55">
        <f t="shared" si="17"/>
        <v>0</v>
      </c>
      <c r="E98" s="55" t="e">
        <f t="shared" si="18"/>
        <v>#DIV/0!</v>
      </c>
      <c r="F98" s="66" t="e">
        <f t="shared" si="19"/>
        <v>#NUM!</v>
      </c>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c r="BM98" s="56"/>
      <c r="BN98" s="56"/>
      <c r="BO98" s="56"/>
      <c r="BP98" s="56"/>
      <c r="BQ98" s="56"/>
      <c r="BR98" s="56"/>
      <c r="BS98" s="56"/>
      <c r="BT98" s="56"/>
      <c r="BU98" s="56"/>
      <c r="BV98" s="56"/>
      <c r="BW98" s="56"/>
      <c r="BX98" s="56"/>
      <c r="BY98" s="56"/>
      <c r="BZ98" s="56"/>
      <c r="CA98" s="56"/>
      <c r="CB98" s="56"/>
      <c r="CC98" s="56"/>
      <c r="CD98" s="56"/>
      <c r="CE98" s="56"/>
      <c r="CF98" s="56"/>
      <c r="CG98" s="56"/>
      <c r="CH98" s="56"/>
      <c r="CI98" s="56"/>
      <c r="CJ98" s="56"/>
      <c r="CK98" s="56"/>
      <c r="CL98" s="56"/>
      <c r="CM98" s="56"/>
      <c r="CN98" s="56"/>
      <c r="CO98" s="56"/>
      <c r="CP98" s="56"/>
      <c r="CQ98" s="56"/>
      <c r="CR98" s="56"/>
      <c r="CS98" s="56"/>
      <c r="CT98" s="56"/>
      <c r="CU98" s="56"/>
      <c r="CV98" s="56"/>
      <c r="CW98" s="56"/>
      <c r="CX98" s="56"/>
      <c r="CY98" s="56"/>
      <c r="CZ98" s="56"/>
      <c r="DA98" s="56"/>
      <c r="DB98" s="56"/>
      <c r="DC98" s="56"/>
      <c r="DD98" s="56"/>
      <c r="DE98" s="56"/>
      <c r="DF98" s="56"/>
      <c r="DG98" s="56"/>
      <c r="DH98" s="56"/>
      <c r="DI98" s="56"/>
      <c r="DJ98" s="56"/>
      <c r="DK98" s="56"/>
      <c r="DL98" s="56"/>
      <c r="DM98" s="56"/>
      <c r="DN98" s="56"/>
      <c r="DO98" s="56"/>
      <c r="DP98" s="56"/>
      <c r="DQ98" s="56"/>
      <c r="DR98" s="56"/>
      <c r="DS98" s="56"/>
      <c r="DT98" s="56"/>
      <c r="DU98" s="56"/>
      <c r="DV98" s="56"/>
      <c r="DW98" s="56"/>
      <c r="DX98" s="56"/>
      <c r="DY98" s="56"/>
      <c r="DZ98" s="56"/>
      <c r="EA98" s="56"/>
      <c r="EB98" s="56"/>
      <c r="EC98" s="56"/>
      <c r="ED98" s="56"/>
      <c r="EE98" s="56"/>
      <c r="EF98" s="56"/>
      <c r="EG98" s="56"/>
      <c r="EH98" s="56"/>
      <c r="EI98" s="56"/>
      <c r="EJ98" s="56"/>
      <c r="EK98" s="56"/>
      <c r="EL98" s="56"/>
      <c r="EM98" s="56"/>
      <c r="EN98" s="56"/>
      <c r="EO98" s="56"/>
      <c r="EP98" s="56"/>
      <c r="EQ98" s="56"/>
      <c r="ER98" s="56"/>
      <c r="ES98" s="56"/>
      <c r="ET98" s="56"/>
      <c r="EU98" s="56"/>
      <c r="EV98" s="56"/>
      <c r="EW98" s="56"/>
      <c r="EX98" s="56"/>
      <c r="EY98" s="56"/>
      <c r="EZ98" s="56"/>
      <c r="FA98" s="56"/>
    </row>
    <row r="99" spans="1:157" x14ac:dyDescent="0.35">
      <c r="A99" s="65" t="str">
        <f t="shared" si="15"/>
        <v/>
      </c>
      <c r="B99" s="68" t="str">
        <f>Stoff!A99</f>
        <v>nystoff 13</v>
      </c>
      <c r="C99" s="67">
        <f t="shared" si="16"/>
        <v>0</v>
      </c>
      <c r="D99" s="55">
        <f t="shared" si="17"/>
        <v>0</v>
      </c>
      <c r="E99" s="55" t="e">
        <f t="shared" si="18"/>
        <v>#DIV/0!</v>
      </c>
      <c r="F99" s="66" t="e">
        <f t="shared" si="19"/>
        <v>#NUM!</v>
      </c>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c r="CW99" s="56"/>
      <c r="CX99" s="56"/>
      <c r="CY99" s="56"/>
      <c r="CZ99" s="56"/>
      <c r="DA99" s="56"/>
      <c r="DB99" s="56"/>
      <c r="DC99" s="56"/>
      <c r="DD99" s="56"/>
      <c r="DE99" s="56"/>
      <c r="DF99" s="56"/>
      <c r="DG99" s="56"/>
      <c r="DH99" s="56"/>
      <c r="DI99" s="56"/>
      <c r="DJ99" s="56"/>
      <c r="DK99" s="56"/>
      <c r="DL99" s="56"/>
      <c r="DM99" s="56"/>
      <c r="DN99" s="56"/>
      <c r="DO99" s="56"/>
      <c r="DP99" s="56"/>
      <c r="DQ99" s="56"/>
      <c r="DR99" s="56"/>
      <c r="DS99" s="56"/>
      <c r="DT99" s="56"/>
      <c r="DU99" s="56"/>
      <c r="DV99" s="56"/>
      <c r="DW99" s="56"/>
      <c r="DX99" s="56"/>
      <c r="DY99" s="56"/>
      <c r="DZ99" s="56"/>
      <c r="EA99" s="56"/>
      <c r="EB99" s="56"/>
      <c r="EC99" s="56"/>
      <c r="ED99" s="56"/>
      <c r="EE99" s="56"/>
      <c r="EF99" s="56"/>
      <c r="EG99" s="56"/>
      <c r="EH99" s="56"/>
      <c r="EI99" s="56"/>
      <c r="EJ99" s="56"/>
      <c r="EK99" s="56"/>
      <c r="EL99" s="56"/>
      <c r="EM99" s="56"/>
      <c r="EN99" s="56"/>
      <c r="EO99" s="56"/>
      <c r="EP99" s="56"/>
      <c r="EQ99" s="56"/>
      <c r="ER99" s="56"/>
      <c r="ES99" s="56"/>
      <c r="ET99" s="56"/>
      <c r="EU99" s="56"/>
      <c r="EV99" s="56"/>
      <c r="EW99" s="56"/>
      <c r="EX99" s="56"/>
      <c r="EY99" s="56"/>
      <c r="EZ99" s="56"/>
      <c r="FA99" s="56"/>
    </row>
    <row r="100" spans="1:157" x14ac:dyDescent="0.35">
      <c r="A100" s="65" t="str">
        <f t="shared" si="15"/>
        <v/>
      </c>
      <c r="B100" s="68" t="str">
        <f>Stoff!A100</f>
        <v>nystoff 14</v>
      </c>
      <c r="C100" s="67">
        <f t="shared" si="16"/>
        <v>0</v>
      </c>
      <c r="D100" s="55">
        <f t="shared" si="17"/>
        <v>0</v>
      </c>
      <c r="E100" s="55" t="e">
        <f t="shared" si="18"/>
        <v>#DIV/0!</v>
      </c>
      <c r="F100" s="66" t="e">
        <f t="shared" si="19"/>
        <v>#NUM!</v>
      </c>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c r="BM100" s="56"/>
      <c r="BN100" s="56"/>
      <c r="BO100" s="56"/>
      <c r="BP100" s="56"/>
      <c r="BQ100" s="56"/>
      <c r="BR100" s="56"/>
      <c r="BS100" s="56"/>
      <c r="BT100" s="56"/>
      <c r="BU100" s="56"/>
      <c r="BV100" s="56"/>
      <c r="BW100" s="56"/>
      <c r="BX100" s="56"/>
      <c r="BY100" s="56"/>
      <c r="BZ100" s="56"/>
      <c r="CA100" s="56"/>
      <c r="CB100" s="56"/>
      <c r="CC100" s="56"/>
      <c r="CD100" s="56"/>
      <c r="CE100" s="56"/>
      <c r="CF100" s="56"/>
      <c r="CG100" s="56"/>
      <c r="CH100" s="56"/>
      <c r="CI100" s="56"/>
      <c r="CJ100" s="56"/>
      <c r="CK100" s="56"/>
      <c r="CL100" s="56"/>
      <c r="CM100" s="56"/>
      <c r="CN100" s="56"/>
      <c r="CO100" s="56"/>
      <c r="CP100" s="56"/>
      <c r="CQ100" s="56"/>
      <c r="CR100" s="56"/>
      <c r="CS100" s="56"/>
      <c r="CT100" s="56"/>
      <c r="CU100" s="56"/>
      <c r="CV100" s="56"/>
      <c r="CW100" s="56"/>
      <c r="CX100" s="56"/>
      <c r="CY100" s="56"/>
      <c r="CZ100" s="56"/>
      <c r="DA100" s="56"/>
      <c r="DB100" s="56"/>
      <c r="DC100" s="56"/>
      <c r="DD100" s="56"/>
      <c r="DE100" s="56"/>
      <c r="DF100" s="56"/>
      <c r="DG100" s="56"/>
      <c r="DH100" s="56"/>
      <c r="DI100" s="56"/>
      <c r="DJ100" s="56"/>
      <c r="DK100" s="56"/>
      <c r="DL100" s="56"/>
      <c r="DM100" s="56"/>
      <c r="DN100" s="56"/>
      <c r="DO100" s="56"/>
      <c r="DP100" s="56"/>
      <c r="DQ100" s="56"/>
      <c r="DR100" s="56"/>
      <c r="DS100" s="56"/>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c r="EV100" s="56"/>
      <c r="EW100" s="56"/>
      <c r="EX100" s="56"/>
      <c r="EY100" s="56"/>
      <c r="EZ100" s="56"/>
      <c r="FA100" s="56"/>
    </row>
    <row r="101" spans="1:157" x14ac:dyDescent="0.35">
      <c r="A101" s="65" t="str">
        <f t="shared" si="15"/>
        <v/>
      </c>
      <c r="B101" s="68" t="str">
        <f>Stoff!A101</f>
        <v>nystoff 15</v>
      </c>
      <c r="C101" s="67">
        <f t="shared" si="16"/>
        <v>0</v>
      </c>
      <c r="D101" s="55">
        <f t="shared" si="17"/>
        <v>0</v>
      </c>
      <c r="E101" s="55" t="e">
        <f t="shared" si="18"/>
        <v>#DIV/0!</v>
      </c>
      <c r="F101" s="66" t="e">
        <f t="shared" si="19"/>
        <v>#NUM!</v>
      </c>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c r="BM101" s="56"/>
      <c r="BN101" s="56"/>
      <c r="BO101" s="56"/>
      <c r="BP101" s="56"/>
      <c r="BQ101" s="56"/>
      <c r="BR101" s="56"/>
      <c r="BS101" s="56"/>
      <c r="BT101" s="56"/>
      <c r="BU101" s="56"/>
      <c r="BV101" s="56"/>
      <c r="BW101" s="56"/>
      <c r="BX101" s="56"/>
      <c r="BY101" s="56"/>
      <c r="BZ101" s="56"/>
      <c r="CA101" s="56"/>
      <c r="CB101" s="56"/>
      <c r="CC101" s="56"/>
      <c r="CD101" s="56"/>
      <c r="CE101" s="56"/>
      <c r="CF101" s="56"/>
      <c r="CG101" s="56"/>
      <c r="CH101" s="56"/>
      <c r="CI101" s="56"/>
      <c r="CJ101" s="56"/>
      <c r="CK101" s="56"/>
      <c r="CL101" s="56"/>
      <c r="CM101" s="56"/>
      <c r="CN101" s="56"/>
      <c r="CO101" s="56"/>
      <c r="CP101" s="56"/>
      <c r="CQ101" s="56"/>
      <c r="CR101" s="56"/>
      <c r="CS101" s="56"/>
      <c r="CT101" s="56"/>
      <c r="CU101" s="56"/>
      <c r="CV101" s="56"/>
      <c r="CW101" s="56"/>
      <c r="CX101" s="56"/>
      <c r="CY101" s="56"/>
      <c r="CZ101" s="56"/>
      <c r="DA101" s="56"/>
      <c r="DB101" s="56"/>
      <c r="DC101" s="56"/>
      <c r="DD101" s="56"/>
      <c r="DE101" s="56"/>
      <c r="DF101" s="56"/>
      <c r="DG101" s="56"/>
      <c r="DH101" s="56"/>
      <c r="DI101" s="56"/>
      <c r="DJ101" s="56"/>
      <c r="DK101" s="56"/>
      <c r="DL101" s="56"/>
      <c r="DM101" s="56"/>
      <c r="DN101" s="56"/>
      <c r="DO101" s="56"/>
      <c r="DP101" s="56"/>
      <c r="DQ101" s="56"/>
      <c r="DR101" s="56"/>
      <c r="DS101" s="56"/>
      <c r="DT101" s="56"/>
      <c r="DU101" s="56"/>
      <c r="DV101" s="56"/>
      <c r="DW101" s="56"/>
      <c r="DX101" s="56"/>
      <c r="DY101" s="56"/>
      <c r="DZ101" s="56"/>
      <c r="EA101" s="56"/>
      <c r="EB101" s="56"/>
      <c r="EC101" s="56"/>
      <c r="ED101" s="56"/>
      <c r="EE101" s="56"/>
      <c r="EF101" s="56"/>
      <c r="EG101" s="56"/>
      <c r="EH101" s="56"/>
      <c r="EI101" s="56"/>
      <c r="EJ101" s="56"/>
      <c r="EK101" s="56"/>
      <c r="EL101" s="56"/>
      <c r="EM101" s="56"/>
      <c r="EN101" s="56"/>
      <c r="EO101" s="56"/>
      <c r="EP101" s="56"/>
      <c r="EQ101" s="56"/>
      <c r="ER101" s="56"/>
      <c r="ES101" s="56"/>
      <c r="ET101" s="56"/>
      <c r="EU101" s="56"/>
      <c r="EV101" s="56"/>
      <c r="EW101" s="56"/>
      <c r="EX101" s="56"/>
      <c r="EY101" s="56"/>
      <c r="EZ101" s="56"/>
      <c r="FA101" s="56"/>
    </row>
    <row r="102" spans="1:157" x14ac:dyDescent="0.35">
      <c r="A102" s="65" t="str">
        <f t="shared" si="15"/>
        <v/>
      </c>
      <c r="B102" s="68" t="str">
        <f>Stoff!A102</f>
        <v>nystoff 16</v>
      </c>
      <c r="C102" s="67">
        <f t="shared" si="16"/>
        <v>0</v>
      </c>
      <c r="D102" s="55">
        <f t="shared" si="17"/>
        <v>0</v>
      </c>
      <c r="E102" s="55" t="e">
        <f t="shared" si="18"/>
        <v>#DIV/0!</v>
      </c>
      <c r="F102" s="66" t="e">
        <f t="shared" si="19"/>
        <v>#NUM!</v>
      </c>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56"/>
      <c r="BS102" s="56"/>
      <c r="BT102" s="56"/>
      <c r="BU102" s="56"/>
      <c r="BV102" s="56"/>
      <c r="BW102" s="56"/>
      <c r="BX102" s="56"/>
      <c r="BY102" s="56"/>
      <c r="BZ102" s="56"/>
      <c r="CA102" s="56"/>
      <c r="CB102" s="56"/>
      <c r="CC102" s="56"/>
      <c r="CD102" s="56"/>
      <c r="CE102" s="56"/>
      <c r="CF102" s="56"/>
      <c r="CG102" s="56"/>
      <c r="CH102" s="56"/>
      <c r="CI102" s="56"/>
      <c r="CJ102" s="56"/>
      <c r="CK102" s="56"/>
      <c r="CL102" s="56"/>
      <c r="CM102" s="56"/>
      <c r="CN102" s="56"/>
      <c r="CO102" s="56"/>
      <c r="CP102" s="56"/>
      <c r="CQ102" s="56"/>
      <c r="CR102" s="56"/>
      <c r="CS102" s="56"/>
      <c r="CT102" s="56"/>
      <c r="CU102" s="56"/>
      <c r="CV102" s="56"/>
      <c r="CW102" s="56"/>
      <c r="CX102" s="56"/>
      <c r="CY102" s="56"/>
      <c r="CZ102" s="56"/>
      <c r="DA102" s="56"/>
      <c r="DB102" s="56"/>
      <c r="DC102" s="56"/>
      <c r="DD102" s="56"/>
      <c r="DE102" s="56"/>
      <c r="DF102" s="56"/>
      <c r="DG102" s="56"/>
      <c r="DH102" s="56"/>
      <c r="DI102" s="56"/>
      <c r="DJ102" s="56"/>
      <c r="DK102" s="56"/>
      <c r="DL102" s="56"/>
      <c r="DM102" s="56"/>
      <c r="DN102" s="56"/>
      <c r="DO102" s="56"/>
      <c r="DP102" s="56"/>
      <c r="DQ102" s="56"/>
      <c r="DR102" s="56"/>
      <c r="DS102" s="56"/>
      <c r="DT102" s="56"/>
      <c r="DU102" s="56"/>
      <c r="DV102" s="56"/>
      <c r="DW102" s="56"/>
      <c r="DX102" s="56"/>
      <c r="DY102" s="56"/>
      <c r="DZ102" s="56"/>
      <c r="EA102" s="56"/>
      <c r="EB102" s="56"/>
      <c r="EC102" s="56"/>
      <c r="ED102" s="56"/>
      <c r="EE102" s="56"/>
      <c r="EF102" s="56"/>
      <c r="EG102" s="56"/>
      <c r="EH102" s="56"/>
      <c r="EI102" s="56"/>
      <c r="EJ102" s="56"/>
      <c r="EK102" s="56"/>
      <c r="EL102" s="56"/>
      <c r="EM102" s="56"/>
      <c r="EN102" s="56"/>
      <c r="EO102" s="56"/>
      <c r="EP102" s="56"/>
      <c r="EQ102" s="56"/>
      <c r="ER102" s="56"/>
      <c r="ES102" s="56"/>
      <c r="ET102" s="56"/>
      <c r="EU102" s="56"/>
      <c r="EV102" s="56"/>
      <c r="EW102" s="56"/>
      <c r="EX102" s="56"/>
      <c r="EY102" s="56"/>
      <c r="EZ102" s="56"/>
      <c r="FA102" s="56"/>
    </row>
    <row r="103" spans="1:157" x14ac:dyDescent="0.35">
      <c r="A103" s="65" t="str">
        <f t="shared" si="15"/>
        <v/>
      </c>
      <c r="B103" s="68" t="str">
        <f>Stoff!A103</f>
        <v>nystoff 17</v>
      </c>
      <c r="C103" s="67">
        <f t="shared" si="16"/>
        <v>0</v>
      </c>
      <c r="D103" s="55">
        <f t="shared" si="17"/>
        <v>0</v>
      </c>
      <c r="E103" s="55" t="e">
        <f t="shared" si="18"/>
        <v>#DIV/0!</v>
      </c>
      <c r="F103" s="66" t="e">
        <f t="shared" si="19"/>
        <v>#NUM!</v>
      </c>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c r="BM103" s="56"/>
      <c r="BN103" s="56"/>
      <c r="BO103" s="56"/>
      <c r="BP103" s="56"/>
      <c r="BQ103" s="56"/>
      <c r="BR103" s="56"/>
      <c r="BS103" s="56"/>
      <c r="BT103" s="56"/>
      <c r="BU103" s="56"/>
      <c r="BV103" s="56"/>
      <c r="BW103" s="56"/>
      <c r="BX103" s="56"/>
      <c r="BY103" s="56"/>
      <c r="BZ103" s="56"/>
      <c r="CA103" s="56"/>
      <c r="CB103" s="56"/>
      <c r="CC103" s="56"/>
      <c r="CD103" s="56"/>
      <c r="CE103" s="56"/>
      <c r="CF103" s="56"/>
      <c r="CG103" s="56"/>
      <c r="CH103" s="56"/>
      <c r="CI103" s="56"/>
      <c r="CJ103" s="56"/>
      <c r="CK103" s="56"/>
      <c r="CL103" s="56"/>
      <c r="CM103" s="56"/>
      <c r="CN103" s="56"/>
      <c r="CO103" s="56"/>
      <c r="CP103" s="56"/>
      <c r="CQ103" s="56"/>
      <c r="CR103" s="56"/>
      <c r="CS103" s="56"/>
      <c r="CT103" s="56"/>
      <c r="CU103" s="56"/>
      <c r="CV103" s="56"/>
      <c r="CW103" s="56"/>
      <c r="CX103" s="56"/>
      <c r="CY103" s="56"/>
      <c r="CZ103" s="56"/>
      <c r="DA103" s="56"/>
      <c r="DB103" s="56"/>
      <c r="DC103" s="56"/>
      <c r="DD103" s="56"/>
      <c r="DE103" s="56"/>
      <c r="DF103" s="56"/>
      <c r="DG103" s="56"/>
      <c r="DH103" s="56"/>
      <c r="DI103" s="56"/>
      <c r="DJ103" s="56"/>
      <c r="DK103" s="56"/>
      <c r="DL103" s="56"/>
      <c r="DM103" s="56"/>
      <c r="DN103" s="56"/>
      <c r="DO103" s="56"/>
      <c r="DP103" s="56"/>
      <c r="DQ103" s="56"/>
      <c r="DR103" s="56"/>
      <c r="DS103" s="56"/>
      <c r="DT103" s="56"/>
      <c r="DU103" s="56"/>
      <c r="DV103" s="56"/>
      <c r="DW103" s="56"/>
      <c r="DX103" s="56"/>
      <c r="DY103" s="56"/>
      <c r="DZ103" s="56"/>
      <c r="EA103" s="56"/>
      <c r="EB103" s="56"/>
      <c r="EC103" s="56"/>
      <c r="ED103" s="56"/>
      <c r="EE103" s="56"/>
      <c r="EF103" s="56"/>
      <c r="EG103" s="56"/>
      <c r="EH103" s="56"/>
      <c r="EI103" s="56"/>
      <c r="EJ103" s="56"/>
      <c r="EK103" s="56"/>
      <c r="EL103" s="56"/>
      <c r="EM103" s="56"/>
      <c r="EN103" s="56"/>
      <c r="EO103" s="56"/>
      <c r="EP103" s="56"/>
      <c r="EQ103" s="56"/>
      <c r="ER103" s="56"/>
      <c r="ES103" s="56"/>
      <c r="ET103" s="56"/>
      <c r="EU103" s="56"/>
      <c r="EV103" s="56"/>
      <c r="EW103" s="56"/>
      <c r="EX103" s="56"/>
      <c r="EY103" s="56"/>
      <c r="EZ103" s="56"/>
      <c r="FA103" s="56"/>
    </row>
    <row r="104" spans="1:157" x14ac:dyDescent="0.35">
      <c r="A104" s="65" t="str">
        <f t="shared" si="15"/>
        <v/>
      </c>
      <c r="B104" s="68" t="str">
        <f>Stoff!A104</f>
        <v>nystoff 18</v>
      </c>
      <c r="C104" s="67">
        <f t="shared" si="16"/>
        <v>0</v>
      </c>
      <c r="D104" s="55">
        <f t="shared" si="17"/>
        <v>0</v>
      </c>
      <c r="E104" s="55" t="e">
        <f t="shared" si="18"/>
        <v>#DIV/0!</v>
      </c>
      <c r="F104" s="66" t="e">
        <f t="shared" si="19"/>
        <v>#NUM!</v>
      </c>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c r="BM104" s="56"/>
      <c r="BN104" s="56"/>
      <c r="BO104" s="56"/>
      <c r="BP104" s="56"/>
      <c r="BQ104" s="56"/>
      <c r="BR104" s="56"/>
      <c r="BS104" s="56"/>
      <c r="BT104" s="56"/>
      <c r="BU104" s="56"/>
      <c r="BV104" s="56"/>
      <c r="BW104" s="56"/>
      <c r="BX104" s="56"/>
      <c r="BY104" s="56"/>
      <c r="BZ104" s="56"/>
      <c r="CA104" s="56"/>
      <c r="CB104" s="56"/>
      <c r="CC104" s="56"/>
      <c r="CD104" s="56"/>
      <c r="CE104" s="56"/>
      <c r="CF104" s="56"/>
      <c r="CG104" s="56"/>
      <c r="CH104" s="56"/>
      <c r="CI104" s="56"/>
      <c r="CJ104" s="56"/>
      <c r="CK104" s="56"/>
      <c r="CL104" s="56"/>
      <c r="CM104" s="56"/>
      <c r="CN104" s="56"/>
      <c r="CO104" s="56"/>
      <c r="CP104" s="56"/>
      <c r="CQ104" s="56"/>
      <c r="CR104" s="56"/>
      <c r="CS104" s="56"/>
      <c r="CT104" s="56"/>
      <c r="CU104" s="56"/>
      <c r="CV104" s="56"/>
      <c r="CW104" s="56"/>
      <c r="CX104" s="56"/>
      <c r="CY104" s="56"/>
      <c r="CZ104" s="56"/>
      <c r="DA104" s="56"/>
      <c r="DB104" s="56"/>
      <c r="DC104" s="56"/>
      <c r="DD104" s="56"/>
      <c r="DE104" s="56"/>
      <c r="DF104" s="56"/>
      <c r="DG104" s="56"/>
      <c r="DH104" s="56"/>
      <c r="DI104" s="56"/>
      <c r="DJ104" s="56"/>
      <c r="DK104" s="56"/>
      <c r="DL104" s="56"/>
      <c r="DM104" s="56"/>
      <c r="DN104" s="56"/>
      <c r="DO104" s="56"/>
      <c r="DP104" s="56"/>
      <c r="DQ104" s="56"/>
      <c r="DR104" s="56"/>
      <c r="DS104" s="56"/>
      <c r="DT104" s="56"/>
      <c r="DU104" s="56"/>
      <c r="DV104" s="56"/>
      <c r="DW104" s="56"/>
      <c r="DX104" s="56"/>
      <c r="DY104" s="56"/>
      <c r="DZ104" s="56"/>
      <c r="EA104" s="56"/>
      <c r="EB104" s="56"/>
      <c r="EC104" s="56"/>
      <c r="ED104" s="56"/>
      <c r="EE104" s="56"/>
      <c r="EF104" s="56"/>
      <c r="EG104" s="56"/>
      <c r="EH104" s="56"/>
      <c r="EI104" s="56"/>
      <c r="EJ104" s="56"/>
      <c r="EK104" s="56"/>
      <c r="EL104" s="56"/>
      <c r="EM104" s="56"/>
      <c r="EN104" s="56"/>
      <c r="EO104" s="56"/>
      <c r="EP104" s="56"/>
      <c r="EQ104" s="56"/>
      <c r="ER104" s="56"/>
      <c r="ES104" s="56"/>
      <c r="ET104" s="56"/>
      <c r="EU104" s="56"/>
      <c r="EV104" s="56"/>
      <c r="EW104" s="56"/>
      <c r="EX104" s="56"/>
      <c r="EY104" s="56"/>
      <c r="EZ104" s="56"/>
      <c r="FA104" s="56"/>
    </row>
    <row r="105" spans="1:157" x14ac:dyDescent="0.35">
      <c r="A105" s="65" t="str">
        <f t="shared" si="15"/>
        <v/>
      </c>
      <c r="B105" s="68" t="str">
        <f>Stoff!A105</f>
        <v>nystoff 19</v>
      </c>
      <c r="C105" s="67">
        <f t="shared" si="16"/>
        <v>0</v>
      </c>
      <c r="D105" s="55">
        <f t="shared" si="17"/>
        <v>0</v>
      </c>
      <c r="E105" s="55" t="e">
        <f t="shared" si="18"/>
        <v>#DIV/0!</v>
      </c>
      <c r="F105" s="66" t="e">
        <f t="shared" si="19"/>
        <v>#NUM!</v>
      </c>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c r="EA105" s="56"/>
      <c r="EB105" s="56"/>
      <c r="EC105" s="56"/>
      <c r="ED105" s="56"/>
      <c r="EE105" s="56"/>
      <c r="EF105" s="56"/>
      <c r="EG105" s="56"/>
      <c r="EH105" s="56"/>
      <c r="EI105" s="56"/>
      <c r="EJ105" s="56"/>
      <c r="EK105" s="56"/>
      <c r="EL105" s="56"/>
      <c r="EM105" s="56"/>
      <c r="EN105" s="56"/>
      <c r="EO105" s="56"/>
      <c r="EP105" s="56"/>
      <c r="EQ105" s="56"/>
      <c r="ER105" s="56"/>
      <c r="ES105" s="56"/>
      <c r="ET105" s="56"/>
      <c r="EU105" s="56"/>
      <c r="EV105" s="56"/>
      <c r="EW105" s="56"/>
      <c r="EX105" s="56"/>
      <c r="EY105" s="56"/>
      <c r="EZ105" s="56"/>
      <c r="FA105" s="56"/>
    </row>
    <row r="106" spans="1:157" x14ac:dyDescent="0.35">
      <c r="A106" s="65" t="str">
        <f t="shared" si="15"/>
        <v/>
      </c>
      <c r="B106" s="68" t="str">
        <f>Stoff!A106</f>
        <v>nystoff 20</v>
      </c>
      <c r="C106" s="67">
        <f t="shared" si="16"/>
        <v>0</v>
      </c>
      <c r="D106" s="55">
        <f t="shared" si="17"/>
        <v>0</v>
      </c>
      <c r="E106" s="55" t="e">
        <f t="shared" si="18"/>
        <v>#DIV/0!</v>
      </c>
      <c r="F106" s="66" t="e">
        <f t="shared" si="19"/>
        <v>#NUM!</v>
      </c>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c r="BM106" s="56"/>
      <c r="BN106" s="56"/>
      <c r="BO106" s="56"/>
      <c r="BP106" s="56"/>
      <c r="BQ106" s="56"/>
      <c r="BR106" s="56"/>
      <c r="BS106" s="56"/>
      <c r="BT106" s="56"/>
      <c r="BU106" s="56"/>
      <c r="BV106" s="56"/>
      <c r="BW106" s="56"/>
      <c r="BX106" s="56"/>
      <c r="BY106" s="56"/>
      <c r="BZ106" s="56"/>
      <c r="CA106" s="56"/>
      <c r="CB106" s="56"/>
      <c r="CC106" s="56"/>
      <c r="CD106" s="56"/>
      <c r="CE106" s="56"/>
      <c r="CF106" s="56"/>
      <c r="CG106" s="56"/>
      <c r="CH106" s="56"/>
      <c r="CI106" s="56"/>
      <c r="CJ106" s="56"/>
      <c r="CK106" s="56"/>
      <c r="CL106" s="56"/>
      <c r="CM106" s="56"/>
      <c r="CN106" s="56"/>
      <c r="CO106" s="56"/>
      <c r="CP106" s="56"/>
      <c r="CQ106" s="56"/>
      <c r="CR106" s="56"/>
      <c r="CS106" s="56"/>
      <c r="CT106" s="56"/>
      <c r="CU106" s="56"/>
      <c r="CV106" s="56"/>
      <c r="CW106" s="56"/>
      <c r="CX106" s="56"/>
      <c r="CY106" s="56"/>
      <c r="CZ106" s="56"/>
      <c r="DA106" s="56"/>
      <c r="DB106" s="56"/>
      <c r="DC106" s="56"/>
      <c r="DD106" s="56"/>
      <c r="DE106" s="56"/>
      <c r="DF106" s="56"/>
      <c r="DG106" s="56"/>
      <c r="DH106" s="56"/>
      <c r="DI106" s="56"/>
      <c r="DJ106" s="56"/>
      <c r="DK106" s="56"/>
      <c r="DL106" s="56"/>
      <c r="DM106" s="56"/>
      <c r="DN106" s="56"/>
      <c r="DO106" s="56"/>
      <c r="DP106" s="56"/>
      <c r="DQ106" s="56"/>
      <c r="DR106" s="56"/>
      <c r="DS106" s="56"/>
      <c r="DT106" s="56"/>
      <c r="DU106" s="56"/>
      <c r="DV106" s="56"/>
      <c r="DW106" s="56"/>
      <c r="DX106" s="56"/>
      <c r="DY106" s="56"/>
      <c r="DZ106" s="56"/>
      <c r="EA106" s="56"/>
      <c r="EB106" s="56"/>
      <c r="EC106" s="56"/>
      <c r="ED106" s="56"/>
      <c r="EE106" s="56"/>
      <c r="EF106" s="56"/>
      <c r="EG106" s="56"/>
      <c r="EH106" s="56"/>
      <c r="EI106" s="56"/>
      <c r="EJ106" s="56"/>
      <c r="EK106" s="56"/>
      <c r="EL106" s="56"/>
      <c r="EM106" s="56"/>
      <c r="EN106" s="56"/>
      <c r="EO106" s="56"/>
      <c r="EP106" s="56"/>
      <c r="EQ106" s="56"/>
      <c r="ER106" s="56"/>
      <c r="ES106" s="56"/>
      <c r="ET106" s="56"/>
      <c r="EU106" s="56"/>
      <c r="EV106" s="56"/>
      <c r="EW106" s="56"/>
      <c r="EX106" s="56"/>
      <c r="EY106" s="56"/>
      <c r="EZ106" s="56"/>
      <c r="FA106" s="56"/>
    </row>
    <row r="107" spans="1:157" x14ac:dyDescent="0.35">
      <c r="A107" s="65" t="str">
        <f t="shared" si="15"/>
        <v/>
      </c>
      <c r="B107" s="68" t="str">
        <f>Stoff!A107</f>
        <v>nystoff 21</v>
      </c>
      <c r="C107" s="67">
        <f t="shared" si="16"/>
        <v>0</v>
      </c>
      <c r="D107" s="55">
        <f t="shared" si="17"/>
        <v>0</v>
      </c>
      <c r="E107" s="55" t="e">
        <f t="shared" si="18"/>
        <v>#DIV/0!</v>
      </c>
      <c r="F107" s="66" t="e">
        <f t="shared" si="19"/>
        <v>#NUM!</v>
      </c>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c r="BM107" s="56"/>
      <c r="BN107" s="56"/>
      <c r="BO107" s="56"/>
      <c r="BP107" s="56"/>
      <c r="BQ107" s="56"/>
      <c r="BR107" s="56"/>
      <c r="BS107" s="56"/>
      <c r="BT107" s="56"/>
      <c r="BU107" s="56"/>
      <c r="BV107" s="56"/>
      <c r="BW107" s="56"/>
      <c r="BX107" s="56"/>
      <c r="BY107" s="56"/>
      <c r="BZ107" s="56"/>
      <c r="CA107" s="56"/>
      <c r="CB107" s="56"/>
      <c r="CC107" s="56"/>
      <c r="CD107" s="56"/>
      <c r="CE107" s="56"/>
      <c r="CF107" s="56"/>
      <c r="CG107" s="56"/>
      <c r="CH107" s="56"/>
      <c r="CI107" s="56"/>
      <c r="CJ107" s="56"/>
      <c r="CK107" s="56"/>
      <c r="CL107" s="56"/>
      <c r="CM107" s="56"/>
      <c r="CN107" s="56"/>
      <c r="CO107" s="56"/>
      <c r="CP107" s="56"/>
      <c r="CQ107" s="56"/>
      <c r="CR107" s="56"/>
      <c r="CS107" s="56"/>
      <c r="CT107" s="56"/>
      <c r="CU107" s="56"/>
      <c r="CV107" s="56"/>
      <c r="CW107" s="56"/>
      <c r="CX107" s="56"/>
      <c r="CY107" s="56"/>
      <c r="CZ107" s="56"/>
      <c r="DA107" s="56"/>
      <c r="DB107" s="56"/>
      <c r="DC107" s="56"/>
      <c r="DD107" s="56"/>
      <c r="DE107" s="56"/>
      <c r="DF107" s="56"/>
      <c r="DG107" s="56"/>
      <c r="DH107" s="56"/>
      <c r="DI107" s="56"/>
      <c r="DJ107" s="56"/>
      <c r="DK107" s="56"/>
      <c r="DL107" s="56"/>
      <c r="DM107" s="56"/>
      <c r="DN107" s="56"/>
      <c r="DO107" s="56"/>
      <c r="DP107" s="56"/>
      <c r="DQ107" s="56"/>
      <c r="DR107" s="56"/>
      <c r="DS107" s="56"/>
      <c r="DT107" s="56"/>
      <c r="DU107" s="56"/>
      <c r="DV107" s="56"/>
      <c r="DW107" s="56"/>
      <c r="DX107" s="56"/>
      <c r="DY107" s="56"/>
      <c r="DZ107" s="56"/>
      <c r="EA107" s="56"/>
      <c r="EB107" s="56"/>
      <c r="EC107" s="56"/>
      <c r="ED107" s="56"/>
      <c r="EE107" s="56"/>
      <c r="EF107" s="56"/>
      <c r="EG107" s="56"/>
      <c r="EH107" s="56"/>
      <c r="EI107" s="56"/>
      <c r="EJ107" s="56"/>
      <c r="EK107" s="56"/>
      <c r="EL107" s="56"/>
      <c r="EM107" s="56"/>
      <c r="EN107" s="56"/>
      <c r="EO107" s="56"/>
      <c r="EP107" s="56"/>
      <c r="EQ107" s="56"/>
      <c r="ER107" s="56"/>
      <c r="ES107" s="56"/>
      <c r="ET107" s="56"/>
      <c r="EU107" s="56"/>
      <c r="EV107" s="56"/>
      <c r="EW107" s="56"/>
      <c r="EX107" s="56"/>
      <c r="EY107" s="56"/>
      <c r="EZ107" s="56"/>
      <c r="FA107" s="56"/>
    </row>
    <row r="108" spans="1:157" x14ac:dyDescent="0.35">
      <c r="A108" s="65" t="str">
        <f t="shared" si="15"/>
        <v/>
      </c>
      <c r="B108" s="68" t="str">
        <f>Stoff!A108</f>
        <v>nystoff 22</v>
      </c>
      <c r="C108" s="67">
        <f t="shared" si="16"/>
        <v>0</v>
      </c>
      <c r="D108" s="55">
        <f t="shared" si="17"/>
        <v>0</v>
      </c>
      <c r="E108" s="55" t="e">
        <f t="shared" si="18"/>
        <v>#DIV/0!</v>
      </c>
      <c r="F108" s="66" t="e">
        <f t="shared" si="19"/>
        <v>#NUM!</v>
      </c>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6"/>
      <c r="EB108" s="56"/>
      <c r="EC108" s="56"/>
      <c r="ED108" s="56"/>
      <c r="EE108" s="56"/>
      <c r="EF108" s="56"/>
      <c r="EG108" s="56"/>
      <c r="EH108" s="56"/>
      <c r="EI108" s="56"/>
      <c r="EJ108" s="56"/>
      <c r="EK108" s="56"/>
      <c r="EL108" s="56"/>
      <c r="EM108" s="56"/>
      <c r="EN108" s="56"/>
      <c r="EO108" s="56"/>
      <c r="EP108" s="56"/>
      <c r="EQ108" s="56"/>
      <c r="ER108" s="56"/>
      <c r="ES108" s="56"/>
      <c r="ET108" s="56"/>
      <c r="EU108" s="56"/>
      <c r="EV108" s="56"/>
      <c r="EW108" s="56"/>
      <c r="EX108" s="56"/>
      <c r="EY108" s="56"/>
      <c r="EZ108" s="56"/>
      <c r="FA108" s="56"/>
    </row>
    <row r="109" spans="1:157" x14ac:dyDescent="0.35">
      <c r="A109" s="65" t="str">
        <f t="shared" si="15"/>
        <v/>
      </c>
      <c r="B109" s="68" t="str">
        <f>Stoff!A109</f>
        <v>nystoff 23</v>
      </c>
      <c r="C109" s="67">
        <f t="shared" si="16"/>
        <v>0</v>
      </c>
      <c r="D109" s="55">
        <f t="shared" si="17"/>
        <v>0</v>
      </c>
      <c r="E109" s="55" t="e">
        <f t="shared" si="18"/>
        <v>#DIV/0!</v>
      </c>
      <c r="F109" s="66" t="e">
        <f t="shared" si="19"/>
        <v>#NUM!</v>
      </c>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c r="BM109" s="56"/>
      <c r="BN109" s="56"/>
      <c r="BO109" s="56"/>
      <c r="BP109" s="56"/>
      <c r="BQ109" s="56"/>
      <c r="BR109" s="56"/>
      <c r="BS109" s="56"/>
      <c r="BT109" s="56"/>
      <c r="BU109" s="56"/>
      <c r="BV109" s="56"/>
      <c r="BW109" s="56"/>
      <c r="BX109" s="56"/>
      <c r="BY109" s="56"/>
      <c r="BZ109" s="56"/>
      <c r="CA109" s="56"/>
      <c r="CB109" s="56"/>
      <c r="CC109" s="56"/>
      <c r="CD109" s="56"/>
      <c r="CE109" s="56"/>
      <c r="CF109" s="56"/>
      <c r="CG109" s="56"/>
      <c r="CH109" s="56"/>
      <c r="CI109" s="56"/>
      <c r="CJ109" s="56"/>
      <c r="CK109" s="56"/>
      <c r="CL109" s="56"/>
      <c r="CM109" s="56"/>
      <c r="CN109" s="56"/>
      <c r="CO109" s="56"/>
      <c r="CP109" s="56"/>
      <c r="CQ109" s="56"/>
      <c r="CR109" s="56"/>
      <c r="CS109" s="56"/>
      <c r="CT109" s="56"/>
      <c r="CU109" s="56"/>
      <c r="CV109" s="56"/>
      <c r="CW109" s="56"/>
      <c r="CX109" s="56"/>
      <c r="CY109" s="56"/>
      <c r="CZ109" s="56"/>
      <c r="DA109" s="56"/>
      <c r="DB109" s="56"/>
      <c r="DC109" s="56"/>
      <c r="DD109" s="56"/>
      <c r="DE109" s="56"/>
      <c r="DF109" s="56"/>
      <c r="DG109" s="56"/>
      <c r="DH109" s="56"/>
      <c r="DI109" s="56"/>
      <c r="DJ109" s="56"/>
      <c r="DK109" s="56"/>
      <c r="DL109" s="56"/>
      <c r="DM109" s="56"/>
      <c r="DN109" s="56"/>
      <c r="DO109" s="56"/>
      <c r="DP109" s="56"/>
      <c r="DQ109" s="56"/>
      <c r="DR109" s="56"/>
      <c r="DS109" s="56"/>
      <c r="DT109" s="56"/>
      <c r="DU109" s="56"/>
      <c r="DV109" s="56"/>
      <c r="DW109" s="56"/>
      <c r="DX109" s="56"/>
      <c r="DY109" s="56"/>
      <c r="DZ109" s="56"/>
      <c r="EA109" s="56"/>
      <c r="EB109" s="56"/>
      <c r="EC109" s="56"/>
      <c r="ED109" s="56"/>
      <c r="EE109" s="56"/>
      <c r="EF109" s="56"/>
      <c r="EG109" s="56"/>
      <c r="EH109" s="56"/>
      <c r="EI109" s="56"/>
      <c r="EJ109" s="56"/>
      <c r="EK109" s="56"/>
      <c r="EL109" s="56"/>
      <c r="EM109" s="56"/>
      <c r="EN109" s="56"/>
      <c r="EO109" s="56"/>
      <c r="EP109" s="56"/>
      <c r="EQ109" s="56"/>
      <c r="ER109" s="56"/>
      <c r="ES109" s="56"/>
      <c r="ET109" s="56"/>
      <c r="EU109" s="56"/>
      <c r="EV109" s="56"/>
      <c r="EW109" s="56"/>
      <c r="EX109" s="56"/>
      <c r="EY109" s="56"/>
      <c r="EZ109" s="56"/>
      <c r="FA109" s="56"/>
    </row>
    <row r="110" spans="1:157" x14ac:dyDescent="0.35">
      <c r="A110" s="65" t="str">
        <f t="shared" ref="A110:A114" si="20">IF(C110&gt;0,"x","")</f>
        <v/>
      </c>
      <c r="B110" s="68" t="str">
        <f>Stoff!A110</f>
        <v>nystoff 24</v>
      </c>
      <c r="C110" s="67">
        <f t="shared" ref="C110:C114" si="21">COUNT(G110:IV110)</f>
        <v>0</v>
      </c>
      <c r="D110" s="55">
        <f t="shared" ref="D110:D114" si="22">MAXA(G110:IV110)</f>
        <v>0</v>
      </c>
      <c r="E110" s="55" t="e">
        <f t="shared" ref="E110:E114" si="23">AVERAGE(G110:IV110)</f>
        <v>#DIV/0!</v>
      </c>
      <c r="F110" s="66" t="e">
        <f t="shared" ref="F110:F114" si="24">D110/MEDIAN(G110:IV110)</f>
        <v>#NUM!</v>
      </c>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c r="DY110" s="56"/>
      <c r="DZ110" s="56"/>
      <c r="EA110" s="56"/>
      <c r="EB110" s="56"/>
      <c r="EC110" s="56"/>
      <c r="ED110" s="56"/>
      <c r="EE110" s="56"/>
      <c r="EF110" s="56"/>
      <c r="EG110" s="56"/>
      <c r="EH110" s="56"/>
      <c r="EI110" s="56"/>
      <c r="EJ110" s="56"/>
      <c r="EK110" s="56"/>
      <c r="EL110" s="56"/>
      <c r="EM110" s="56"/>
      <c r="EN110" s="56"/>
      <c r="EO110" s="56"/>
      <c r="EP110" s="56"/>
      <c r="EQ110" s="56"/>
      <c r="ER110" s="56"/>
      <c r="ES110" s="56"/>
      <c r="ET110" s="56"/>
      <c r="EU110" s="56"/>
      <c r="EV110" s="56"/>
      <c r="EW110" s="56"/>
      <c r="EX110" s="56"/>
      <c r="EY110" s="56"/>
      <c r="EZ110" s="56"/>
      <c r="FA110" s="56"/>
    </row>
    <row r="111" spans="1:157" x14ac:dyDescent="0.35">
      <c r="A111" s="65" t="str">
        <f t="shared" si="20"/>
        <v/>
      </c>
      <c r="B111" s="68" t="str">
        <f>Stoff!A111</f>
        <v>nystoff 25</v>
      </c>
      <c r="C111" s="67">
        <f t="shared" si="21"/>
        <v>0</v>
      </c>
      <c r="D111" s="55">
        <f t="shared" si="22"/>
        <v>0</v>
      </c>
      <c r="E111" s="55" t="e">
        <f t="shared" si="23"/>
        <v>#DIV/0!</v>
      </c>
      <c r="F111" s="66" t="e">
        <f t="shared" si="24"/>
        <v>#NUM!</v>
      </c>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c r="BM111" s="56"/>
      <c r="BN111" s="56"/>
      <c r="BO111" s="56"/>
      <c r="BP111" s="56"/>
      <c r="BQ111" s="56"/>
      <c r="BR111" s="56"/>
      <c r="BS111" s="56"/>
      <c r="BT111" s="56"/>
      <c r="BU111" s="56"/>
      <c r="BV111" s="56"/>
      <c r="BW111" s="56"/>
      <c r="BX111" s="56"/>
      <c r="BY111" s="56"/>
      <c r="BZ111" s="56"/>
      <c r="CA111" s="56"/>
      <c r="CB111" s="56"/>
      <c r="CC111" s="56"/>
      <c r="CD111" s="56"/>
      <c r="CE111" s="56"/>
      <c r="CF111" s="56"/>
      <c r="CG111" s="56"/>
      <c r="CH111" s="56"/>
      <c r="CI111" s="56"/>
      <c r="CJ111" s="56"/>
      <c r="CK111" s="56"/>
      <c r="CL111" s="56"/>
      <c r="CM111" s="56"/>
      <c r="CN111" s="56"/>
      <c r="CO111" s="56"/>
      <c r="CP111" s="56"/>
      <c r="CQ111" s="56"/>
      <c r="CR111" s="56"/>
      <c r="CS111" s="56"/>
      <c r="CT111" s="56"/>
      <c r="CU111" s="56"/>
      <c r="CV111" s="56"/>
      <c r="CW111" s="56"/>
      <c r="CX111" s="56"/>
      <c r="CY111" s="56"/>
      <c r="CZ111" s="56"/>
      <c r="DA111" s="56"/>
      <c r="DB111" s="56"/>
      <c r="DC111" s="56"/>
      <c r="DD111" s="56"/>
      <c r="DE111" s="56"/>
      <c r="DF111" s="56"/>
      <c r="DG111" s="56"/>
      <c r="DH111" s="56"/>
      <c r="DI111" s="56"/>
      <c r="DJ111" s="56"/>
      <c r="DK111" s="56"/>
      <c r="DL111" s="56"/>
      <c r="DM111" s="56"/>
      <c r="DN111" s="56"/>
      <c r="DO111" s="56"/>
      <c r="DP111" s="56"/>
      <c r="DQ111" s="56"/>
      <c r="DR111" s="56"/>
      <c r="DS111" s="56"/>
      <c r="DT111" s="56"/>
      <c r="DU111" s="56"/>
      <c r="DV111" s="56"/>
      <c r="DW111" s="56"/>
      <c r="DX111" s="56"/>
      <c r="DY111" s="56"/>
      <c r="DZ111" s="56"/>
      <c r="EA111" s="56"/>
      <c r="EB111" s="56"/>
      <c r="EC111" s="56"/>
      <c r="ED111" s="56"/>
      <c r="EE111" s="56"/>
      <c r="EF111" s="56"/>
      <c r="EG111" s="56"/>
      <c r="EH111" s="56"/>
      <c r="EI111" s="56"/>
      <c r="EJ111" s="56"/>
      <c r="EK111" s="56"/>
      <c r="EL111" s="56"/>
      <c r="EM111" s="56"/>
      <c r="EN111" s="56"/>
      <c r="EO111" s="56"/>
      <c r="EP111" s="56"/>
      <c r="EQ111" s="56"/>
      <c r="ER111" s="56"/>
      <c r="ES111" s="56"/>
      <c r="ET111" s="56"/>
      <c r="EU111" s="56"/>
      <c r="EV111" s="56"/>
      <c r="EW111" s="56"/>
      <c r="EX111" s="56"/>
      <c r="EY111" s="56"/>
      <c r="EZ111" s="56"/>
      <c r="FA111" s="56"/>
    </row>
    <row r="112" spans="1:157" x14ac:dyDescent="0.35">
      <c r="A112" s="65" t="str">
        <f t="shared" si="20"/>
        <v/>
      </c>
      <c r="B112" s="68" t="str">
        <f>Stoff!A112</f>
        <v>nystoff 26</v>
      </c>
      <c r="C112" s="67">
        <f t="shared" si="21"/>
        <v>0</v>
      </c>
      <c r="D112" s="55">
        <f t="shared" si="22"/>
        <v>0</v>
      </c>
      <c r="E112" s="55" t="e">
        <f t="shared" si="23"/>
        <v>#DIV/0!</v>
      </c>
      <c r="F112" s="66" t="e">
        <f t="shared" si="24"/>
        <v>#NUM!</v>
      </c>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c r="BM112" s="56"/>
      <c r="BN112" s="56"/>
      <c r="BO112" s="56"/>
      <c r="BP112" s="56"/>
      <c r="BQ112" s="56"/>
      <c r="BR112" s="56"/>
      <c r="BS112" s="56"/>
      <c r="BT112" s="56"/>
      <c r="BU112" s="56"/>
      <c r="BV112" s="56"/>
      <c r="BW112" s="56"/>
      <c r="BX112" s="56"/>
      <c r="BY112" s="56"/>
      <c r="BZ112" s="56"/>
      <c r="CA112" s="56"/>
      <c r="CB112" s="56"/>
      <c r="CC112" s="56"/>
      <c r="CD112" s="56"/>
      <c r="CE112" s="56"/>
      <c r="CF112" s="56"/>
      <c r="CG112" s="56"/>
      <c r="CH112" s="56"/>
      <c r="CI112" s="56"/>
      <c r="CJ112" s="56"/>
      <c r="CK112" s="56"/>
      <c r="CL112" s="56"/>
      <c r="CM112" s="56"/>
      <c r="CN112" s="56"/>
      <c r="CO112" s="56"/>
      <c r="CP112" s="56"/>
      <c r="CQ112" s="56"/>
      <c r="CR112" s="56"/>
      <c r="CS112" s="56"/>
      <c r="CT112" s="56"/>
      <c r="CU112" s="56"/>
      <c r="CV112" s="56"/>
      <c r="CW112" s="56"/>
      <c r="CX112" s="56"/>
      <c r="CY112" s="56"/>
      <c r="CZ112" s="56"/>
      <c r="DA112" s="56"/>
      <c r="DB112" s="56"/>
      <c r="DC112" s="56"/>
      <c r="DD112" s="56"/>
      <c r="DE112" s="56"/>
      <c r="DF112" s="56"/>
      <c r="DG112" s="56"/>
      <c r="DH112" s="56"/>
      <c r="DI112" s="56"/>
      <c r="DJ112" s="56"/>
      <c r="DK112" s="56"/>
      <c r="DL112" s="56"/>
      <c r="DM112" s="56"/>
      <c r="DN112" s="56"/>
      <c r="DO112" s="56"/>
      <c r="DP112" s="56"/>
      <c r="DQ112" s="56"/>
      <c r="DR112" s="56"/>
      <c r="DS112" s="56"/>
      <c r="DT112" s="56"/>
      <c r="DU112" s="56"/>
      <c r="DV112" s="56"/>
      <c r="DW112" s="56"/>
      <c r="DX112" s="56"/>
      <c r="DY112" s="56"/>
      <c r="DZ112" s="56"/>
      <c r="EA112" s="56"/>
      <c r="EB112" s="56"/>
      <c r="EC112" s="56"/>
      <c r="ED112" s="56"/>
      <c r="EE112" s="56"/>
      <c r="EF112" s="56"/>
      <c r="EG112" s="56"/>
      <c r="EH112" s="56"/>
      <c r="EI112" s="56"/>
      <c r="EJ112" s="56"/>
      <c r="EK112" s="56"/>
      <c r="EL112" s="56"/>
      <c r="EM112" s="56"/>
      <c r="EN112" s="56"/>
      <c r="EO112" s="56"/>
      <c r="EP112" s="56"/>
      <c r="EQ112" s="56"/>
      <c r="ER112" s="56"/>
      <c r="ES112" s="56"/>
      <c r="ET112" s="56"/>
      <c r="EU112" s="56"/>
      <c r="EV112" s="56"/>
      <c r="EW112" s="56"/>
      <c r="EX112" s="56"/>
      <c r="EY112" s="56"/>
      <c r="EZ112" s="56"/>
      <c r="FA112" s="56"/>
    </row>
    <row r="113" spans="1:157" x14ac:dyDescent="0.35">
      <c r="A113" s="65" t="str">
        <f t="shared" si="20"/>
        <v/>
      </c>
      <c r="B113" s="68" t="str">
        <f>Stoff!A113</f>
        <v>nystoff 27</v>
      </c>
      <c r="C113" s="67">
        <f t="shared" si="21"/>
        <v>0</v>
      </c>
      <c r="D113" s="55">
        <f t="shared" si="22"/>
        <v>0</v>
      </c>
      <c r="E113" s="55" t="e">
        <f t="shared" si="23"/>
        <v>#DIV/0!</v>
      </c>
      <c r="F113" s="66" t="e">
        <f t="shared" si="24"/>
        <v>#NUM!</v>
      </c>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c r="BM113" s="56"/>
      <c r="BN113" s="56"/>
      <c r="BO113" s="56"/>
      <c r="BP113" s="56"/>
      <c r="BQ113" s="56"/>
      <c r="BR113" s="56"/>
      <c r="BS113" s="56"/>
      <c r="BT113" s="56"/>
      <c r="BU113" s="56"/>
      <c r="BV113" s="56"/>
      <c r="BW113" s="56"/>
      <c r="BX113" s="56"/>
      <c r="BY113" s="56"/>
      <c r="BZ113" s="56"/>
      <c r="CA113" s="56"/>
      <c r="CB113" s="56"/>
      <c r="CC113" s="56"/>
      <c r="CD113" s="56"/>
      <c r="CE113" s="56"/>
      <c r="CF113" s="56"/>
      <c r="CG113" s="56"/>
      <c r="CH113" s="56"/>
      <c r="CI113" s="56"/>
      <c r="CJ113" s="56"/>
      <c r="CK113" s="56"/>
      <c r="CL113" s="56"/>
      <c r="CM113" s="56"/>
      <c r="CN113" s="56"/>
      <c r="CO113" s="56"/>
      <c r="CP113" s="56"/>
      <c r="CQ113" s="56"/>
      <c r="CR113" s="56"/>
      <c r="CS113" s="56"/>
      <c r="CT113" s="56"/>
      <c r="CU113" s="56"/>
      <c r="CV113" s="56"/>
      <c r="CW113" s="56"/>
      <c r="CX113" s="56"/>
      <c r="CY113" s="56"/>
      <c r="CZ113" s="56"/>
      <c r="DA113" s="56"/>
      <c r="DB113" s="56"/>
      <c r="DC113" s="56"/>
      <c r="DD113" s="56"/>
      <c r="DE113" s="56"/>
      <c r="DF113" s="56"/>
      <c r="DG113" s="56"/>
      <c r="DH113" s="56"/>
      <c r="DI113" s="56"/>
      <c r="DJ113" s="56"/>
      <c r="DK113" s="56"/>
      <c r="DL113" s="56"/>
      <c r="DM113" s="56"/>
      <c r="DN113" s="56"/>
      <c r="DO113" s="56"/>
      <c r="DP113" s="56"/>
      <c r="DQ113" s="56"/>
      <c r="DR113" s="56"/>
      <c r="DS113" s="56"/>
      <c r="DT113" s="56"/>
      <c r="DU113" s="56"/>
      <c r="DV113" s="56"/>
      <c r="DW113" s="56"/>
      <c r="DX113" s="56"/>
      <c r="DY113" s="56"/>
      <c r="DZ113" s="56"/>
      <c r="EA113" s="56"/>
      <c r="EB113" s="56"/>
      <c r="EC113" s="56"/>
      <c r="ED113" s="56"/>
      <c r="EE113" s="56"/>
      <c r="EF113" s="56"/>
      <c r="EG113" s="56"/>
      <c r="EH113" s="56"/>
      <c r="EI113" s="56"/>
      <c r="EJ113" s="56"/>
      <c r="EK113" s="56"/>
      <c r="EL113" s="56"/>
      <c r="EM113" s="56"/>
      <c r="EN113" s="56"/>
      <c r="EO113" s="56"/>
      <c r="EP113" s="56"/>
      <c r="EQ113" s="56"/>
      <c r="ER113" s="56"/>
      <c r="ES113" s="56"/>
      <c r="ET113" s="56"/>
      <c r="EU113" s="56"/>
      <c r="EV113" s="56"/>
      <c r="EW113" s="56"/>
      <c r="EX113" s="56"/>
      <c r="EY113" s="56"/>
      <c r="EZ113" s="56"/>
      <c r="FA113" s="56"/>
    </row>
    <row r="114" spans="1:157" x14ac:dyDescent="0.35">
      <c r="A114" s="65" t="str">
        <f t="shared" si="20"/>
        <v/>
      </c>
      <c r="B114" s="68" t="str">
        <f>Stoff!A114</f>
        <v>nystoff 28</v>
      </c>
      <c r="C114" s="67">
        <f t="shared" si="21"/>
        <v>0</v>
      </c>
      <c r="D114" s="55">
        <f t="shared" si="22"/>
        <v>0</v>
      </c>
      <c r="E114" s="55" t="e">
        <f t="shared" si="23"/>
        <v>#DIV/0!</v>
      </c>
      <c r="F114" s="66" t="e">
        <f t="shared" si="24"/>
        <v>#NUM!</v>
      </c>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c r="BM114" s="56"/>
      <c r="BN114" s="56"/>
      <c r="BO114" s="56"/>
      <c r="BP114" s="56"/>
      <c r="BQ114" s="56"/>
      <c r="BR114" s="56"/>
      <c r="BS114" s="56"/>
      <c r="BT114" s="56"/>
      <c r="BU114" s="56"/>
      <c r="BV114" s="56"/>
      <c r="BW114" s="56"/>
      <c r="BX114" s="56"/>
      <c r="BY114" s="56"/>
      <c r="BZ114" s="56"/>
      <c r="CA114" s="56"/>
      <c r="CB114" s="56"/>
      <c r="CC114" s="56"/>
      <c r="CD114" s="56"/>
      <c r="CE114" s="56"/>
      <c r="CF114" s="56"/>
      <c r="CG114" s="56"/>
      <c r="CH114" s="56"/>
      <c r="CI114" s="56"/>
      <c r="CJ114" s="56"/>
      <c r="CK114" s="56"/>
      <c r="CL114" s="56"/>
      <c r="CM114" s="56"/>
      <c r="CN114" s="56"/>
      <c r="CO114" s="56"/>
      <c r="CP114" s="56"/>
      <c r="CQ114" s="56"/>
      <c r="CR114" s="56"/>
      <c r="CS114" s="56"/>
      <c r="CT114" s="56"/>
      <c r="CU114" s="56"/>
      <c r="CV114" s="56"/>
      <c r="CW114" s="56"/>
      <c r="CX114" s="56"/>
      <c r="CY114" s="56"/>
      <c r="CZ114" s="56"/>
      <c r="DA114" s="56"/>
      <c r="DB114" s="56"/>
      <c r="DC114" s="56"/>
      <c r="DD114" s="56"/>
      <c r="DE114" s="56"/>
      <c r="DF114" s="56"/>
      <c r="DG114" s="56"/>
      <c r="DH114" s="56"/>
      <c r="DI114" s="56"/>
      <c r="DJ114" s="56"/>
      <c r="DK114" s="56"/>
      <c r="DL114" s="56"/>
      <c r="DM114" s="56"/>
      <c r="DN114" s="56"/>
      <c r="DO114" s="56"/>
      <c r="DP114" s="56"/>
      <c r="DQ114" s="56"/>
      <c r="DR114" s="56"/>
      <c r="DS114" s="56"/>
      <c r="DT114" s="56"/>
      <c r="DU114" s="56"/>
      <c r="DV114" s="56"/>
      <c r="DW114" s="56"/>
      <c r="DX114" s="56"/>
      <c r="DY114" s="56"/>
      <c r="DZ114" s="56"/>
      <c r="EA114" s="56"/>
      <c r="EB114" s="56"/>
      <c r="EC114" s="56"/>
      <c r="ED114" s="56"/>
      <c r="EE114" s="56"/>
      <c r="EF114" s="56"/>
      <c r="EG114" s="56"/>
      <c r="EH114" s="56"/>
      <c r="EI114" s="56"/>
      <c r="EJ114" s="56"/>
      <c r="EK114" s="56"/>
      <c r="EL114" s="56"/>
      <c r="EM114" s="56"/>
      <c r="EN114" s="56"/>
      <c r="EO114" s="56"/>
      <c r="EP114" s="56"/>
      <c r="EQ114" s="56"/>
      <c r="ER114" s="56"/>
      <c r="ES114" s="56"/>
      <c r="ET114" s="56"/>
      <c r="EU114" s="56"/>
      <c r="EV114" s="56"/>
      <c r="EW114" s="56"/>
      <c r="EX114" s="56"/>
      <c r="EY114" s="56"/>
      <c r="EZ114" s="56"/>
      <c r="FA114" s="56"/>
    </row>
  </sheetData>
  <sheetProtection sheet="1" objects="1" scenarios="1" selectLockedCells="1"/>
  <mergeCells count="4">
    <mergeCell ref="C1:E2"/>
    <mergeCell ref="F1:F2"/>
    <mergeCell ref="G1:L2"/>
    <mergeCell ref="B2:B3"/>
  </mergeCells>
  <conditionalFormatting sqref="D4:F114">
    <cfRule type="expression" dxfId="47" priority="7" stopIfTrue="1">
      <formula>$D4=0</formula>
    </cfRule>
  </conditionalFormatting>
  <conditionalFormatting sqref="BJ4:IV37 BJ38:FA51 G4:BI51">
    <cfRule type="cellIs" dxfId="46" priority="8" stopIfTrue="1" operator="equal">
      <formula>0</formula>
    </cfRule>
  </conditionalFormatting>
  <conditionalFormatting sqref="C4:C69">
    <cfRule type="expression" dxfId="45" priority="9" stopIfTrue="1">
      <formula>C4=0</formula>
    </cfRule>
  </conditionalFormatting>
  <conditionalFormatting sqref="G52:FA69">
    <cfRule type="cellIs" dxfId="44" priority="6" stopIfTrue="1" operator="equal">
      <formula>0</formula>
    </cfRule>
  </conditionalFormatting>
  <conditionalFormatting sqref="C70:C114">
    <cfRule type="expression" dxfId="43" priority="5" stopIfTrue="1">
      <formula>C70=0</formula>
    </cfRule>
  </conditionalFormatting>
  <conditionalFormatting sqref="G70:FA114">
    <cfRule type="cellIs" dxfId="42" priority="4" stopIfTrue="1" operator="equal">
      <formula>0</formula>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99"/>
  </sheetPr>
  <dimension ref="A1:K114"/>
  <sheetViews>
    <sheetView workbookViewId="0">
      <selection sqref="A1:K114"/>
    </sheetView>
  </sheetViews>
  <sheetFormatPr baseColWidth="10" defaultColWidth="11.453125" defaultRowHeight="14.5" x14ac:dyDescent="0.35"/>
  <cols>
    <col min="1" max="1" width="20" style="46" bestFit="1" customWidth="1"/>
    <col min="2" max="2" width="11.453125" style="89"/>
    <col min="3" max="3" width="11.453125" style="89" customWidth="1"/>
    <col min="4" max="6" width="11.453125" style="89"/>
    <col min="7" max="7" width="13.7265625" style="89" customWidth="1"/>
    <col min="8" max="8" width="14" style="89" customWidth="1"/>
    <col min="9" max="9" width="15.54296875" style="89" customWidth="1"/>
    <col min="10" max="10" width="19" style="89" customWidth="1"/>
    <col min="11" max="11" width="17.54296875" style="89" customWidth="1"/>
  </cols>
  <sheetData>
    <row r="1" spans="1:11" x14ac:dyDescent="0.35">
      <c r="A1" s="257" t="s">
        <v>211</v>
      </c>
      <c r="B1" s="334" t="s">
        <v>553</v>
      </c>
      <c r="C1" s="334" t="s">
        <v>553</v>
      </c>
      <c r="D1" s="334" t="s">
        <v>553</v>
      </c>
      <c r="E1" s="334" t="s">
        <v>553</v>
      </c>
      <c r="F1" s="334" t="s">
        <v>553</v>
      </c>
      <c r="G1" s="334" t="s">
        <v>553</v>
      </c>
      <c r="H1" s="334" t="s">
        <v>553</v>
      </c>
      <c r="I1" s="334" t="s">
        <v>553</v>
      </c>
      <c r="J1" s="334" t="s">
        <v>553</v>
      </c>
      <c r="K1" s="334" t="s">
        <v>553</v>
      </c>
    </row>
    <row r="2" spans="1:11" ht="58" x14ac:dyDescent="0.35">
      <c r="A2" s="257"/>
      <c r="B2" s="329" t="s">
        <v>677</v>
      </c>
      <c r="C2" s="330" t="s">
        <v>678</v>
      </c>
      <c r="D2" s="330" t="s">
        <v>569</v>
      </c>
      <c r="E2" s="330" t="s">
        <v>570</v>
      </c>
      <c r="F2" s="330" t="s">
        <v>571</v>
      </c>
      <c r="G2" s="331" t="s">
        <v>572</v>
      </c>
      <c r="H2" s="331" t="s">
        <v>574</v>
      </c>
      <c r="I2" s="331" t="s">
        <v>575</v>
      </c>
      <c r="J2" s="331" t="s">
        <v>576</v>
      </c>
      <c r="K2" s="332" t="s">
        <v>586</v>
      </c>
    </row>
    <row r="3" spans="1:11" x14ac:dyDescent="0.35">
      <c r="A3" s="257"/>
      <c r="B3" s="326"/>
      <c r="C3" s="326"/>
      <c r="D3" s="326"/>
      <c r="E3" s="326"/>
      <c r="F3" s="326"/>
      <c r="G3" s="326"/>
      <c r="H3" s="326"/>
      <c r="I3" s="326"/>
      <c r="J3" s="326"/>
      <c r="K3" s="326"/>
    </row>
    <row r="4" spans="1:11" x14ac:dyDescent="0.35">
      <c r="A4" s="239" t="s">
        <v>207</v>
      </c>
      <c r="B4" s="320" t="str">
        <f>Mellomregninger!D4</f>
        <v/>
      </c>
      <c r="C4" s="318" t="e">
        <f>'1b. Kons. umettet jord'!E4</f>
        <v>#DIV/0!</v>
      </c>
      <c r="D4" s="318" t="e">
        <f>(Mellomregninger!AU4+Mellomregninger!AV4)*1000000/('1a. Spredningsmodell input'!$C$18*'1a. Spredningsmodell input'!$C$17*'1a. Spredningsmodell input'!$C$16*1000*'1a. Spredningsmodell input'!$C$12)</f>
        <v>#VALUE!</v>
      </c>
      <c r="E4" s="318" t="e">
        <f>(Mellomregninger!BG4+Mellomregninger!BH4)*1000000/('1a. Spredningsmodell input'!$C$18*'1a. Spredningsmodell input'!$C$17*'1a. Spredningsmodell input'!$C$16*1000*'1a. Spredningsmodell input'!$C$12)</f>
        <v>#VALUE!</v>
      </c>
      <c r="F4" s="318" t="e">
        <f>(Mellomregninger!BS4+Mellomregninger!BT4)*1000000/('1a. Spredningsmodell input'!$C$18*'1a. Spredningsmodell input'!$C$17*'1a. Spredningsmodell input'!$C$16*1000*'1a. Spredningsmodell input'!$C$12)</f>
        <v>#VALUE!</v>
      </c>
      <c r="G4" s="328" t="e">
        <f>C4/Stoff!$F4</f>
        <v>#DIV/0!</v>
      </c>
      <c r="H4" s="328" t="e">
        <f>D4/Stoff!$F4</f>
        <v>#VALUE!</v>
      </c>
      <c r="I4" s="328" t="e">
        <f>E4/Stoff!$F4</f>
        <v>#VALUE!</v>
      </c>
      <c r="J4" s="328" t="e">
        <f>F4/Stoff!$F4</f>
        <v>#VALUE!</v>
      </c>
      <c r="K4" s="328" t="e">
        <f>IF(G4&lt;1,0,-LN((Stoff!$F4*('1a. Spredningsmodell input'!$C$18*'1a. Spredningsmodell input'!$C$17*'1a. Spredningsmodell input'!$C$16*1000*'1a. Spredningsmodell input'!$C$12)/1000000)/(Mellomregninger!$D4-Stoff!$P4*Mellomregninger!$D4))/(Mellomregninger!$F4+Stoff!$L4*365))</f>
        <v>#DIV/0!</v>
      </c>
    </row>
    <row r="5" spans="1:11" x14ac:dyDescent="0.35">
      <c r="A5" s="239" t="s">
        <v>206</v>
      </c>
      <c r="B5" s="320" t="str">
        <f>Mellomregninger!D5</f>
        <v/>
      </c>
      <c r="C5" s="318" t="e">
        <f>'1b. Kons. umettet jord'!E5</f>
        <v>#DIV/0!</v>
      </c>
      <c r="D5" s="318" t="e">
        <f>(Mellomregninger!AU5+Mellomregninger!AV5)*1000000/('1a. Spredningsmodell input'!$C$18*'1a. Spredningsmodell input'!$C$17*'1a. Spredningsmodell input'!$C$16*1000*'1a. Spredningsmodell input'!$C$12)</f>
        <v>#VALUE!</v>
      </c>
      <c r="E5" s="318" t="e">
        <f>(Mellomregninger!BG5+Mellomregninger!BH5)*1000000/('1a. Spredningsmodell input'!$C$18*'1a. Spredningsmodell input'!$C$17*'1a. Spredningsmodell input'!$C$16*1000*'1a. Spredningsmodell input'!$C$12)</f>
        <v>#VALUE!</v>
      </c>
      <c r="F5" s="318" t="e">
        <f>(Mellomregninger!BS5+Mellomregninger!BT5)*1000000/('1a. Spredningsmodell input'!$C$18*'1a. Spredningsmodell input'!$C$17*'1a. Spredningsmodell input'!$C$16*1000*'1a. Spredningsmodell input'!$C$12)</f>
        <v>#VALUE!</v>
      </c>
      <c r="G5" s="328" t="e">
        <f>C5/Stoff!$F5</f>
        <v>#DIV/0!</v>
      </c>
      <c r="H5" s="328" t="e">
        <f>D5/Stoff!$F5</f>
        <v>#VALUE!</v>
      </c>
      <c r="I5" s="328" t="e">
        <f>E5/Stoff!$F5</f>
        <v>#VALUE!</v>
      </c>
      <c r="J5" s="328" t="e">
        <f>F5/Stoff!$F5</f>
        <v>#VALUE!</v>
      </c>
      <c r="K5" s="328" t="e">
        <f>IF(G5&lt;1,0,-LN((Stoff!$F5*('1a. Spredningsmodell input'!$C$18*'1a. Spredningsmodell input'!$C$17*'1a. Spredningsmodell input'!$C$16*1000*'1a. Spredningsmodell input'!$C$12)/1000000)/(Mellomregninger!$D5-Stoff!$P5*Mellomregninger!$D5))/(Mellomregninger!$F5+Stoff!$L5*365))</f>
        <v>#DIV/0!</v>
      </c>
    </row>
    <row r="6" spans="1:11" x14ac:dyDescent="0.35">
      <c r="A6" s="239" t="s">
        <v>205</v>
      </c>
      <c r="B6" s="320" t="str">
        <f>Mellomregninger!D6</f>
        <v/>
      </c>
      <c r="C6" s="318" t="e">
        <f>'1b. Kons. umettet jord'!E6</f>
        <v>#DIV/0!</v>
      </c>
      <c r="D6" s="318" t="e">
        <f>(Mellomregninger!AU6+Mellomregninger!AV6)*1000000/('1a. Spredningsmodell input'!$C$18*'1a. Spredningsmodell input'!$C$17*'1a. Spredningsmodell input'!$C$16*1000*'1a. Spredningsmodell input'!$C$12)</f>
        <v>#VALUE!</v>
      </c>
      <c r="E6" s="318" t="e">
        <f>(Mellomregninger!BG6+Mellomregninger!BH6)*1000000/('1a. Spredningsmodell input'!$C$18*'1a. Spredningsmodell input'!$C$17*'1a. Spredningsmodell input'!$C$16*1000*'1a. Spredningsmodell input'!$C$12)</f>
        <v>#VALUE!</v>
      </c>
      <c r="F6" s="318" t="e">
        <f>(Mellomregninger!BS6+Mellomregninger!BT6)*1000000/('1a. Spredningsmodell input'!$C$18*'1a. Spredningsmodell input'!$C$17*'1a. Spredningsmodell input'!$C$16*1000*'1a. Spredningsmodell input'!$C$12)</f>
        <v>#VALUE!</v>
      </c>
      <c r="G6" s="328" t="e">
        <f>C6/Stoff!$F6</f>
        <v>#DIV/0!</v>
      </c>
      <c r="H6" s="328" t="e">
        <f>D6/Stoff!$F6</f>
        <v>#VALUE!</v>
      </c>
      <c r="I6" s="328" t="e">
        <f>E6/Stoff!$F6</f>
        <v>#VALUE!</v>
      </c>
      <c r="J6" s="328" t="e">
        <f>F6/Stoff!$F6</f>
        <v>#VALUE!</v>
      </c>
      <c r="K6" s="328" t="e">
        <f>IF(G6&lt;1,0,-LN((Stoff!$F6*('1a. Spredningsmodell input'!$C$18*'1a. Spredningsmodell input'!$C$17*'1a. Spredningsmodell input'!$C$16*1000*'1a. Spredningsmodell input'!$C$12)/1000000)/(Mellomregninger!$D6-Stoff!$P6*Mellomregninger!$D6))/(Mellomregninger!$F6+Stoff!$L6*365))</f>
        <v>#DIV/0!</v>
      </c>
    </row>
    <row r="7" spans="1:11" x14ac:dyDescent="0.35">
      <c r="A7" s="239" t="s">
        <v>204</v>
      </c>
      <c r="B7" s="320" t="str">
        <f>Mellomregninger!D7</f>
        <v/>
      </c>
      <c r="C7" s="318" t="e">
        <f>'1b. Kons. umettet jord'!E7</f>
        <v>#DIV/0!</v>
      </c>
      <c r="D7" s="318" t="e">
        <f>(Mellomregninger!AU7+Mellomregninger!AV7)*1000000/('1a. Spredningsmodell input'!$C$18*'1a. Spredningsmodell input'!$C$17*'1a. Spredningsmodell input'!$C$16*1000*'1a. Spredningsmodell input'!$C$12)</f>
        <v>#VALUE!</v>
      </c>
      <c r="E7" s="318" t="e">
        <f>(Mellomregninger!BG7+Mellomregninger!BH7)*1000000/('1a. Spredningsmodell input'!$C$18*'1a. Spredningsmodell input'!$C$17*'1a. Spredningsmodell input'!$C$16*1000*'1a. Spredningsmodell input'!$C$12)</f>
        <v>#VALUE!</v>
      </c>
      <c r="F7" s="318" t="e">
        <f>(Mellomregninger!BS7+Mellomregninger!BT7)*1000000/('1a. Spredningsmodell input'!$C$18*'1a. Spredningsmodell input'!$C$17*'1a. Spredningsmodell input'!$C$16*1000*'1a. Spredningsmodell input'!$C$12)</f>
        <v>#VALUE!</v>
      </c>
      <c r="G7" s="328" t="e">
        <f>C7/Stoff!$F7</f>
        <v>#DIV/0!</v>
      </c>
      <c r="H7" s="328" t="e">
        <f>D7/Stoff!$F7</f>
        <v>#VALUE!</v>
      </c>
      <c r="I7" s="328" t="e">
        <f>E7/Stoff!$F7</f>
        <v>#VALUE!</v>
      </c>
      <c r="J7" s="328" t="e">
        <f>F7/Stoff!$F7</f>
        <v>#VALUE!</v>
      </c>
      <c r="K7" s="328" t="e">
        <f>IF(G7&lt;1,0,-LN((Stoff!$F7*('1a. Spredningsmodell input'!$C$18*'1a. Spredningsmodell input'!$C$17*'1a. Spredningsmodell input'!$C$16*1000*'1a. Spredningsmodell input'!$C$12)/1000000)/(Mellomregninger!$D7-Stoff!$P7*Mellomregninger!$D7))/(Mellomregninger!$F7+Stoff!$L7*365))</f>
        <v>#DIV/0!</v>
      </c>
    </row>
    <row r="8" spans="1:11" x14ac:dyDescent="0.35">
      <c r="A8" s="239" t="s">
        <v>203</v>
      </c>
      <c r="B8" s="320" t="str">
        <f>Mellomregninger!D8</f>
        <v/>
      </c>
      <c r="C8" s="318" t="e">
        <f>'1b. Kons. umettet jord'!E8</f>
        <v>#DIV/0!</v>
      </c>
      <c r="D8" s="318" t="e">
        <f>(Mellomregninger!AU8+Mellomregninger!AV8)*1000000/('1a. Spredningsmodell input'!$C$18*'1a. Spredningsmodell input'!$C$17*'1a. Spredningsmodell input'!$C$16*1000*'1a. Spredningsmodell input'!$C$12)</f>
        <v>#VALUE!</v>
      </c>
      <c r="E8" s="318" t="e">
        <f>(Mellomregninger!BG8+Mellomregninger!BH8)*1000000/('1a. Spredningsmodell input'!$C$18*'1a. Spredningsmodell input'!$C$17*'1a. Spredningsmodell input'!$C$16*1000*'1a. Spredningsmodell input'!$C$12)</f>
        <v>#VALUE!</v>
      </c>
      <c r="F8" s="318" t="e">
        <f>(Mellomregninger!BS8+Mellomregninger!BT8)*1000000/('1a. Spredningsmodell input'!$C$18*'1a. Spredningsmodell input'!$C$17*'1a. Spredningsmodell input'!$C$16*1000*'1a. Spredningsmodell input'!$C$12)</f>
        <v>#VALUE!</v>
      </c>
      <c r="G8" s="328" t="e">
        <f>C8/Stoff!$F8</f>
        <v>#DIV/0!</v>
      </c>
      <c r="H8" s="328" t="e">
        <f>D8/Stoff!$F8</f>
        <v>#VALUE!</v>
      </c>
      <c r="I8" s="328" t="e">
        <f>E8/Stoff!$F8</f>
        <v>#VALUE!</v>
      </c>
      <c r="J8" s="328" t="e">
        <f>F8/Stoff!$F8</f>
        <v>#VALUE!</v>
      </c>
      <c r="K8" s="328" t="e">
        <f>IF(G8&lt;1,0,-LN((Stoff!$F8*('1a. Spredningsmodell input'!$C$18*'1a. Spredningsmodell input'!$C$17*'1a. Spredningsmodell input'!$C$16*1000*'1a. Spredningsmodell input'!$C$12)/1000000)/(Mellomregninger!$D8-Stoff!$P8*Mellomregninger!$D8))/(Mellomregninger!$F8+Stoff!$L8*365))</f>
        <v>#DIV/0!</v>
      </c>
    </row>
    <row r="9" spans="1:11" x14ac:dyDescent="0.35">
      <c r="A9" s="239" t="s">
        <v>202</v>
      </c>
      <c r="B9" s="320" t="str">
        <f>Mellomregninger!D9</f>
        <v/>
      </c>
      <c r="C9" s="318" t="e">
        <f>'1b. Kons. umettet jord'!E9</f>
        <v>#DIV/0!</v>
      </c>
      <c r="D9" s="318" t="e">
        <f>(Mellomregninger!AU9+Mellomregninger!AV9)*1000000/('1a. Spredningsmodell input'!$C$18*'1a. Spredningsmodell input'!$C$17*'1a. Spredningsmodell input'!$C$16*1000*'1a. Spredningsmodell input'!$C$12)</f>
        <v>#VALUE!</v>
      </c>
      <c r="E9" s="318" t="e">
        <f>(Mellomregninger!BG9+Mellomregninger!BH9)*1000000/('1a. Spredningsmodell input'!$C$18*'1a. Spredningsmodell input'!$C$17*'1a. Spredningsmodell input'!$C$16*1000*'1a. Spredningsmodell input'!$C$12)</f>
        <v>#VALUE!</v>
      </c>
      <c r="F9" s="318" t="e">
        <f>(Mellomregninger!BS9+Mellomregninger!BT9)*1000000/('1a. Spredningsmodell input'!$C$18*'1a. Spredningsmodell input'!$C$17*'1a. Spredningsmodell input'!$C$16*1000*'1a. Spredningsmodell input'!$C$12)</f>
        <v>#VALUE!</v>
      </c>
      <c r="G9" s="328" t="e">
        <f>C9/Stoff!$F9</f>
        <v>#DIV/0!</v>
      </c>
      <c r="H9" s="328" t="e">
        <f>D9/Stoff!$F9</f>
        <v>#VALUE!</v>
      </c>
      <c r="I9" s="328" t="e">
        <f>E9/Stoff!$F9</f>
        <v>#VALUE!</v>
      </c>
      <c r="J9" s="328" t="e">
        <f>F9/Stoff!$F9</f>
        <v>#VALUE!</v>
      </c>
      <c r="K9" s="328" t="e">
        <f>IF(G9&lt;1,0,-LN((Stoff!$F9*('1a. Spredningsmodell input'!$C$18*'1a. Spredningsmodell input'!$C$17*'1a. Spredningsmodell input'!$C$16*1000*'1a. Spredningsmodell input'!$C$12)/1000000)/(Mellomregninger!$D9-Stoff!$P9*Mellomregninger!$D9))/(Mellomregninger!$F9+Stoff!$L9*365))</f>
        <v>#DIV/0!</v>
      </c>
    </row>
    <row r="10" spans="1:11" x14ac:dyDescent="0.35">
      <c r="A10" s="239" t="s">
        <v>201</v>
      </c>
      <c r="B10" s="320" t="str">
        <f>Mellomregninger!D10</f>
        <v/>
      </c>
      <c r="C10" s="318" t="e">
        <f>'1b. Kons. umettet jord'!E10</f>
        <v>#DIV/0!</v>
      </c>
      <c r="D10" s="318" t="e">
        <f>(Mellomregninger!AU10+Mellomregninger!AV10)*1000000/('1a. Spredningsmodell input'!$C$18*'1a. Spredningsmodell input'!$C$17*'1a. Spredningsmodell input'!$C$16*1000*'1a. Spredningsmodell input'!$C$12)</f>
        <v>#VALUE!</v>
      </c>
      <c r="E10" s="318" t="e">
        <f>(Mellomregninger!BG10+Mellomregninger!BH10)*1000000/('1a. Spredningsmodell input'!$C$18*'1a. Spredningsmodell input'!$C$17*'1a. Spredningsmodell input'!$C$16*1000*'1a. Spredningsmodell input'!$C$12)</f>
        <v>#VALUE!</v>
      </c>
      <c r="F10" s="318" t="e">
        <f>(Mellomregninger!BS10+Mellomregninger!BT10)*1000000/('1a. Spredningsmodell input'!$C$18*'1a. Spredningsmodell input'!$C$17*'1a. Spredningsmodell input'!$C$16*1000*'1a. Spredningsmodell input'!$C$12)</f>
        <v>#VALUE!</v>
      </c>
      <c r="G10" s="328" t="e">
        <f>C10/Stoff!$F10</f>
        <v>#DIV/0!</v>
      </c>
      <c r="H10" s="328" t="e">
        <f>D10/Stoff!$F10</f>
        <v>#VALUE!</v>
      </c>
      <c r="I10" s="328" t="e">
        <f>E10/Stoff!$F10</f>
        <v>#VALUE!</v>
      </c>
      <c r="J10" s="328" t="e">
        <f>F10/Stoff!$F10</f>
        <v>#VALUE!</v>
      </c>
      <c r="K10" s="328" t="e">
        <f>IF(G10&lt;1,0,-LN((Stoff!$F10*('1a. Spredningsmodell input'!$C$18*'1a. Spredningsmodell input'!$C$17*'1a. Spredningsmodell input'!$C$16*1000*'1a. Spredningsmodell input'!$C$12)/1000000)/(Mellomregninger!$D10-Stoff!$P10*Mellomregninger!$D10))/(Mellomregninger!$F10+Stoff!$L10*365))</f>
        <v>#DIV/0!</v>
      </c>
    </row>
    <row r="11" spans="1:11" x14ac:dyDescent="0.35">
      <c r="A11" s="239" t="s">
        <v>200</v>
      </c>
      <c r="B11" s="320" t="str">
        <f>Mellomregninger!D11</f>
        <v/>
      </c>
      <c r="C11" s="318" t="e">
        <f>'1b. Kons. umettet jord'!E11</f>
        <v>#DIV/0!</v>
      </c>
      <c r="D11" s="318" t="e">
        <f>(Mellomregninger!AU11+Mellomregninger!AV11)*1000000/('1a. Spredningsmodell input'!$C$18*'1a. Spredningsmodell input'!$C$17*'1a. Spredningsmodell input'!$C$16*1000*'1a. Spredningsmodell input'!$C$12)</f>
        <v>#VALUE!</v>
      </c>
      <c r="E11" s="318" t="e">
        <f>(Mellomregninger!BG11+Mellomregninger!BH11)*1000000/('1a. Spredningsmodell input'!$C$18*'1a. Spredningsmodell input'!$C$17*'1a. Spredningsmodell input'!$C$16*1000*'1a. Spredningsmodell input'!$C$12)</f>
        <v>#VALUE!</v>
      </c>
      <c r="F11" s="318" t="e">
        <f>(Mellomregninger!BS11+Mellomregninger!BT11)*1000000/('1a. Spredningsmodell input'!$C$18*'1a. Spredningsmodell input'!$C$17*'1a. Spredningsmodell input'!$C$16*1000*'1a. Spredningsmodell input'!$C$12)</f>
        <v>#VALUE!</v>
      </c>
      <c r="G11" s="328" t="e">
        <f>C11/Stoff!$F11</f>
        <v>#DIV/0!</v>
      </c>
      <c r="H11" s="328" t="e">
        <f>D11/Stoff!$F11</f>
        <v>#VALUE!</v>
      </c>
      <c r="I11" s="328" t="e">
        <f>E11/Stoff!$F11</f>
        <v>#VALUE!</v>
      </c>
      <c r="J11" s="328" t="e">
        <f>F11/Stoff!$F11</f>
        <v>#VALUE!</v>
      </c>
      <c r="K11" s="328" t="e">
        <f>IF(G11&lt;1,0,-LN((Stoff!$F11*('1a. Spredningsmodell input'!$C$18*'1a. Spredningsmodell input'!$C$17*'1a. Spredningsmodell input'!$C$16*1000*'1a. Spredningsmodell input'!$C$12)/1000000)/(Mellomregninger!$D11-Stoff!$P11*Mellomregninger!$D11))/(Mellomregninger!$F11+Stoff!$L11*365))</f>
        <v>#DIV/0!</v>
      </c>
    </row>
    <row r="12" spans="1:11" x14ac:dyDescent="0.35">
      <c r="A12" s="239" t="s">
        <v>199</v>
      </c>
      <c r="B12" s="320" t="str">
        <f>Mellomregninger!D12</f>
        <v/>
      </c>
      <c r="C12" s="318" t="e">
        <f>'1b. Kons. umettet jord'!E12</f>
        <v>#DIV/0!</v>
      </c>
      <c r="D12" s="318" t="e">
        <f>(Mellomregninger!AU12+Mellomregninger!AV12)*1000000/('1a. Spredningsmodell input'!$C$18*'1a. Spredningsmodell input'!$C$17*'1a. Spredningsmodell input'!$C$16*1000*'1a. Spredningsmodell input'!$C$12)</f>
        <v>#VALUE!</v>
      </c>
      <c r="E12" s="318" t="e">
        <f>(Mellomregninger!BG12+Mellomregninger!BH12)*1000000/('1a. Spredningsmodell input'!$C$18*'1a. Spredningsmodell input'!$C$17*'1a. Spredningsmodell input'!$C$16*1000*'1a. Spredningsmodell input'!$C$12)</f>
        <v>#VALUE!</v>
      </c>
      <c r="F12" s="318" t="e">
        <f>(Mellomregninger!BS12+Mellomregninger!BT12)*1000000/('1a. Spredningsmodell input'!$C$18*'1a. Spredningsmodell input'!$C$17*'1a. Spredningsmodell input'!$C$16*1000*'1a. Spredningsmodell input'!$C$12)</f>
        <v>#VALUE!</v>
      </c>
      <c r="G12" s="328" t="e">
        <f>C12/Stoff!$F12</f>
        <v>#DIV/0!</v>
      </c>
      <c r="H12" s="328" t="e">
        <f>D12/Stoff!$F12</f>
        <v>#VALUE!</v>
      </c>
      <c r="I12" s="328" t="e">
        <f>E12/Stoff!$F12</f>
        <v>#VALUE!</v>
      </c>
      <c r="J12" s="328" t="e">
        <f>F12/Stoff!$F12</f>
        <v>#VALUE!</v>
      </c>
      <c r="K12" s="328" t="e">
        <f>IF(G12&lt;1,0,-LN((Stoff!$F12*('1a. Spredningsmodell input'!$C$18*'1a. Spredningsmodell input'!$C$17*'1a. Spredningsmodell input'!$C$16*1000*'1a. Spredningsmodell input'!$C$12)/1000000)/(Mellomregninger!$D12-Stoff!$P12*Mellomregninger!$D12))/(Mellomregninger!$F12+Stoff!$L12*365))</f>
        <v>#DIV/0!</v>
      </c>
    </row>
    <row r="13" spans="1:11" x14ac:dyDescent="0.35">
      <c r="A13" s="242" t="s">
        <v>198</v>
      </c>
      <c r="B13" s="320" t="str">
        <f>Mellomregninger!D13</f>
        <v/>
      </c>
      <c r="C13" s="318" t="e">
        <f>'1b. Kons. umettet jord'!E13</f>
        <v>#DIV/0!</v>
      </c>
      <c r="D13" s="318" t="e">
        <f>(Mellomregninger!AU13+Mellomregninger!AV13)*1000000/('1a. Spredningsmodell input'!$C$18*'1a. Spredningsmodell input'!$C$17*'1a. Spredningsmodell input'!$C$16*1000*'1a. Spredningsmodell input'!$C$12)</f>
        <v>#VALUE!</v>
      </c>
      <c r="E13" s="318" t="e">
        <f>(Mellomregninger!BG13+Mellomregninger!BH13)*1000000/('1a. Spredningsmodell input'!$C$18*'1a. Spredningsmodell input'!$C$17*'1a. Spredningsmodell input'!$C$16*1000*'1a. Spredningsmodell input'!$C$12)</f>
        <v>#VALUE!</v>
      </c>
      <c r="F13" s="318" t="e">
        <f>(Mellomregninger!BS13+Mellomregninger!BT13)*1000000/('1a. Spredningsmodell input'!$C$18*'1a. Spredningsmodell input'!$C$17*'1a. Spredningsmodell input'!$C$16*1000*'1a. Spredningsmodell input'!$C$12)</f>
        <v>#VALUE!</v>
      </c>
      <c r="G13" s="328" t="e">
        <f>C13/Stoff!$F13</f>
        <v>#DIV/0!</v>
      </c>
      <c r="H13" s="328" t="e">
        <f>D13/Stoff!$F13</f>
        <v>#VALUE!</v>
      </c>
      <c r="I13" s="328" t="e">
        <f>E13/Stoff!$F13</f>
        <v>#VALUE!</v>
      </c>
      <c r="J13" s="328" t="e">
        <f>F13/Stoff!$F13</f>
        <v>#VALUE!</v>
      </c>
      <c r="K13" s="328" t="e">
        <f>IF(G13&lt;1,0,-LN((Stoff!$F13*('1a. Spredningsmodell input'!$C$18*'1a. Spredningsmodell input'!$C$17*'1a. Spredningsmodell input'!$C$16*1000*'1a. Spredningsmodell input'!$C$12)/1000000)/(Mellomregninger!$D13-Stoff!$P13*Mellomregninger!$D13))/(Mellomregninger!$F13+Stoff!$L13*365))</f>
        <v>#DIV/0!</v>
      </c>
    </row>
    <row r="14" spans="1:11" x14ac:dyDescent="0.35">
      <c r="A14" s="242" t="s">
        <v>197</v>
      </c>
      <c r="B14" s="320" t="str">
        <f>Mellomregninger!D14</f>
        <v/>
      </c>
      <c r="C14" s="318" t="e">
        <f>'1b. Kons. umettet jord'!E14</f>
        <v>#DIV/0!</v>
      </c>
      <c r="D14" s="318" t="e">
        <f>(Mellomregninger!AU14+Mellomregninger!AV14)*1000000/('1a. Spredningsmodell input'!$C$18*'1a. Spredningsmodell input'!$C$17*'1a. Spredningsmodell input'!$C$16*1000*'1a. Spredningsmodell input'!$C$12)</f>
        <v>#VALUE!</v>
      </c>
      <c r="E14" s="318" t="e">
        <f>(Mellomregninger!BG14+Mellomregninger!BH14)*1000000/('1a. Spredningsmodell input'!$C$18*'1a. Spredningsmodell input'!$C$17*'1a. Spredningsmodell input'!$C$16*1000*'1a. Spredningsmodell input'!$C$12)</f>
        <v>#VALUE!</v>
      </c>
      <c r="F14" s="318" t="e">
        <f>(Mellomregninger!BS14+Mellomregninger!BT14)*1000000/('1a. Spredningsmodell input'!$C$18*'1a. Spredningsmodell input'!$C$17*'1a. Spredningsmodell input'!$C$16*1000*'1a. Spredningsmodell input'!$C$12)</f>
        <v>#VALUE!</v>
      </c>
      <c r="G14" s="328" t="e">
        <f>C14/Stoff!$F14</f>
        <v>#DIV/0!</v>
      </c>
      <c r="H14" s="328" t="e">
        <f>D14/Stoff!$F14</f>
        <v>#VALUE!</v>
      </c>
      <c r="I14" s="328" t="e">
        <f>E14/Stoff!$F14</f>
        <v>#VALUE!</v>
      </c>
      <c r="J14" s="328" t="e">
        <f>F14/Stoff!$F14</f>
        <v>#VALUE!</v>
      </c>
      <c r="K14" s="328" t="e">
        <f>IF(G14&lt;1,0,-LN((Stoff!$F14*('1a. Spredningsmodell input'!$C$18*'1a. Spredningsmodell input'!$C$17*'1a. Spredningsmodell input'!$C$16*1000*'1a. Spredningsmodell input'!$C$12)/1000000)/(Mellomregninger!$D14-Stoff!$P14*Mellomregninger!$D14))/(Mellomregninger!$F14+Stoff!$L14*365))</f>
        <v>#DIV/0!</v>
      </c>
    </row>
    <row r="15" spans="1:11" x14ac:dyDescent="0.35">
      <c r="A15" s="239" t="s">
        <v>195</v>
      </c>
      <c r="B15" s="320" t="str">
        <f>Mellomregninger!D15</f>
        <v/>
      </c>
      <c r="C15" s="318" t="e">
        <f>'1b. Kons. umettet jord'!E15</f>
        <v>#DIV/0!</v>
      </c>
      <c r="D15" s="318" t="e">
        <f>(Mellomregninger!AU15+Mellomregninger!AV15)*1000000/('1a. Spredningsmodell input'!$C$18*'1a. Spredningsmodell input'!$C$17*'1a. Spredningsmodell input'!$C$16*1000*'1a. Spredningsmodell input'!$C$12)</f>
        <v>#VALUE!</v>
      </c>
      <c r="E15" s="318" t="e">
        <f>(Mellomregninger!BG15+Mellomregninger!BH15)*1000000/('1a. Spredningsmodell input'!$C$18*'1a. Spredningsmodell input'!$C$17*'1a. Spredningsmodell input'!$C$16*1000*'1a. Spredningsmodell input'!$C$12)</f>
        <v>#VALUE!</v>
      </c>
      <c r="F15" s="318" t="e">
        <f>(Mellomregninger!BS15+Mellomregninger!BT15)*1000000/('1a. Spredningsmodell input'!$C$18*'1a. Spredningsmodell input'!$C$17*'1a. Spredningsmodell input'!$C$16*1000*'1a. Spredningsmodell input'!$C$12)</f>
        <v>#VALUE!</v>
      </c>
      <c r="G15" s="328" t="e">
        <f>C15/Stoff!$F15</f>
        <v>#DIV/0!</v>
      </c>
      <c r="H15" s="328" t="e">
        <f>D15/Stoff!$F15</f>
        <v>#VALUE!</v>
      </c>
      <c r="I15" s="328" t="e">
        <f>E15/Stoff!$F15</f>
        <v>#VALUE!</v>
      </c>
      <c r="J15" s="328" t="e">
        <f>F15/Stoff!$F15</f>
        <v>#VALUE!</v>
      </c>
      <c r="K15" s="328" t="e">
        <f>IF(G15&lt;1,0,-LN((Stoff!$F15*('1a. Spredningsmodell input'!$C$18*'1a. Spredningsmodell input'!$C$17*'1a. Spredningsmodell input'!$C$16*1000*'1a. Spredningsmodell input'!$C$12)/1000000)/(Mellomregninger!$D15-Stoff!$P15*Mellomregninger!$D15))/(Mellomregninger!$F15+Stoff!$L15*365))</f>
        <v>#DIV/0!</v>
      </c>
    </row>
    <row r="16" spans="1:11" x14ac:dyDescent="0.35">
      <c r="A16" s="239" t="s">
        <v>194</v>
      </c>
      <c r="B16" s="320" t="str">
        <f>Mellomregninger!D16</f>
        <v/>
      </c>
      <c r="C16" s="318" t="e">
        <f>'1b. Kons. umettet jord'!E16</f>
        <v>#DIV/0!</v>
      </c>
      <c r="D16" s="318" t="e">
        <f>(Mellomregninger!AU16+Mellomregninger!AV16)*1000000/('1a. Spredningsmodell input'!$C$18*'1a. Spredningsmodell input'!$C$17*'1a. Spredningsmodell input'!$C$16*1000*'1a. Spredningsmodell input'!$C$12)</f>
        <v>#VALUE!</v>
      </c>
      <c r="E16" s="318" t="e">
        <f>(Mellomregninger!BG16+Mellomregninger!BH16)*1000000/('1a. Spredningsmodell input'!$C$18*'1a. Spredningsmodell input'!$C$17*'1a. Spredningsmodell input'!$C$16*1000*'1a. Spredningsmodell input'!$C$12)</f>
        <v>#VALUE!</v>
      </c>
      <c r="F16" s="318" t="e">
        <f>(Mellomregninger!BS16+Mellomregninger!BT16)*1000000/('1a. Spredningsmodell input'!$C$18*'1a. Spredningsmodell input'!$C$17*'1a. Spredningsmodell input'!$C$16*1000*'1a. Spredningsmodell input'!$C$12)</f>
        <v>#VALUE!</v>
      </c>
      <c r="G16" s="328" t="e">
        <f>C16/Stoff!$F16</f>
        <v>#DIV/0!</v>
      </c>
      <c r="H16" s="328" t="e">
        <f>D16/Stoff!$F16</f>
        <v>#VALUE!</v>
      </c>
      <c r="I16" s="328" t="e">
        <f>E16/Stoff!$F16</f>
        <v>#VALUE!</v>
      </c>
      <c r="J16" s="328" t="e">
        <f>F16/Stoff!$F16</f>
        <v>#VALUE!</v>
      </c>
      <c r="K16" s="328" t="e">
        <f>IF(G16&lt;1,0,-LN((Stoff!$F16*('1a. Spredningsmodell input'!$C$18*'1a. Spredningsmodell input'!$C$17*'1a. Spredningsmodell input'!$C$16*1000*'1a. Spredningsmodell input'!$C$12)/1000000)/(Mellomregninger!$D16-Stoff!$P16*Mellomregninger!$D16))/(Mellomregninger!$F16+Stoff!$L16*365))</f>
        <v>#DIV/0!</v>
      </c>
    </row>
    <row r="17" spans="1:11" x14ac:dyDescent="0.35">
      <c r="A17" s="239" t="s">
        <v>193</v>
      </c>
      <c r="B17" s="320" t="str">
        <f>Mellomregninger!D17</f>
        <v/>
      </c>
      <c r="C17" s="318" t="e">
        <f>'1b. Kons. umettet jord'!E17</f>
        <v>#DIV/0!</v>
      </c>
      <c r="D17" s="318" t="e">
        <f>(Mellomregninger!AU17+Mellomregninger!AV17)*1000000/('1a. Spredningsmodell input'!$C$18*'1a. Spredningsmodell input'!$C$17*'1a. Spredningsmodell input'!$C$16*1000*'1a. Spredningsmodell input'!$C$12)</f>
        <v>#VALUE!</v>
      </c>
      <c r="E17" s="318" t="e">
        <f>(Mellomregninger!BG17+Mellomregninger!BH17)*1000000/('1a. Spredningsmodell input'!$C$18*'1a. Spredningsmodell input'!$C$17*'1a. Spredningsmodell input'!$C$16*1000*'1a. Spredningsmodell input'!$C$12)</f>
        <v>#VALUE!</v>
      </c>
      <c r="F17" s="318" t="e">
        <f>(Mellomregninger!BS17+Mellomregninger!BT17)*1000000/('1a. Spredningsmodell input'!$C$18*'1a. Spredningsmodell input'!$C$17*'1a. Spredningsmodell input'!$C$16*1000*'1a. Spredningsmodell input'!$C$12)</f>
        <v>#VALUE!</v>
      </c>
      <c r="G17" s="328" t="e">
        <f>C17/Stoff!$F17</f>
        <v>#DIV/0!</v>
      </c>
      <c r="H17" s="328" t="e">
        <f>D17/Stoff!$F17</f>
        <v>#VALUE!</v>
      </c>
      <c r="I17" s="328" t="e">
        <f>E17/Stoff!$F17</f>
        <v>#VALUE!</v>
      </c>
      <c r="J17" s="328" t="e">
        <f>F17/Stoff!$F17</f>
        <v>#VALUE!</v>
      </c>
      <c r="K17" s="328" t="e">
        <f>IF(G17&lt;1,0,-LN((Stoff!$F17*('1a. Spredningsmodell input'!$C$18*'1a. Spredningsmodell input'!$C$17*'1a. Spredningsmodell input'!$C$16*1000*'1a. Spredningsmodell input'!$C$12)/1000000)/(Mellomregninger!$D17-Stoff!$P17*Mellomregninger!$D17))/(Mellomregninger!$F17+Stoff!$L17*365))</f>
        <v>#DIV/0!</v>
      </c>
    </row>
    <row r="18" spans="1:11" x14ac:dyDescent="0.35">
      <c r="A18" s="239" t="s">
        <v>192</v>
      </c>
      <c r="B18" s="320" t="str">
        <f>Mellomregninger!D18</f>
        <v/>
      </c>
      <c r="C18" s="318" t="e">
        <f>'1b. Kons. umettet jord'!E18</f>
        <v>#DIV/0!</v>
      </c>
      <c r="D18" s="318" t="e">
        <f>(Mellomregninger!AU18+Mellomregninger!AV18)*1000000/('1a. Spredningsmodell input'!$C$18*'1a. Spredningsmodell input'!$C$17*'1a. Spredningsmodell input'!$C$16*1000*'1a. Spredningsmodell input'!$C$12)</f>
        <v>#VALUE!</v>
      </c>
      <c r="E18" s="318" t="e">
        <f>(Mellomregninger!BG18+Mellomregninger!BH18)*1000000/('1a. Spredningsmodell input'!$C$18*'1a. Spredningsmodell input'!$C$17*'1a. Spredningsmodell input'!$C$16*1000*'1a. Spredningsmodell input'!$C$12)</f>
        <v>#VALUE!</v>
      </c>
      <c r="F18" s="318" t="e">
        <f>(Mellomregninger!BS18+Mellomregninger!BT18)*1000000/('1a. Spredningsmodell input'!$C$18*'1a. Spredningsmodell input'!$C$17*'1a. Spredningsmodell input'!$C$16*1000*'1a. Spredningsmodell input'!$C$12)</f>
        <v>#VALUE!</v>
      </c>
      <c r="G18" s="328" t="e">
        <f>C18/Stoff!$F18</f>
        <v>#DIV/0!</v>
      </c>
      <c r="H18" s="328" t="e">
        <f>D18/Stoff!$F18</f>
        <v>#VALUE!</v>
      </c>
      <c r="I18" s="328" t="e">
        <f>E18/Stoff!$F18</f>
        <v>#VALUE!</v>
      </c>
      <c r="J18" s="328" t="e">
        <f>F18/Stoff!$F18</f>
        <v>#VALUE!</v>
      </c>
      <c r="K18" s="328" t="e">
        <f>IF(G18&lt;1,0,-LN((Stoff!$F18*('1a. Spredningsmodell input'!$C$18*'1a. Spredningsmodell input'!$C$17*'1a. Spredningsmodell input'!$C$16*1000*'1a. Spredningsmodell input'!$C$12)/1000000)/(Mellomregninger!$D18-Stoff!$P18*Mellomregninger!$D18))/(Mellomregninger!$F18+Stoff!$L18*365))</f>
        <v>#DIV/0!</v>
      </c>
    </row>
    <row r="19" spans="1:11" x14ac:dyDescent="0.35">
      <c r="A19" s="239" t="s">
        <v>191</v>
      </c>
      <c r="B19" s="320" t="str">
        <f>Mellomregninger!D19</f>
        <v/>
      </c>
      <c r="C19" s="318" t="e">
        <f>'1b. Kons. umettet jord'!E19</f>
        <v>#DIV/0!</v>
      </c>
      <c r="D19" s="318" t="e">
        <f>(Mellomregninger!AU19+Mellomregninger!AV19)*1000000/('1a. Spredningsmodell input'!$C$18*'1a. Spredningsmodell input'!$C$17*'1a. Spredningsmodell input'!$C$16*1000*'1a. Spredningsmodell input'!$C$12)</f>
        <v>#VALUE!</v>
      </c>
      <c r="E19" s="318" t="e">
        <f>(Mellomregninger!BG19+Mellomregninger!BH19)*1000000/('1a. Spredningsmodell input'!$C$18*'1a. Spredningsmodell input'!$C$17*'1a. Spredningsmodell input'!$C$16*1000*'1a. Spredningsmodell input'!$C$12)</f>
        <v>#VALUE!</v>
      </c>
      <c r="F19" s="318" t="e">
        <f>(Mellomregninger!BS19+Mellomregninger!BT19)*1000000/('1a. Spredningsmodell input'!$C$18*'1a. Spredningsmodell input'!$C$17*'1a. Spredningsmodell input'!$C$16*1000*'1a. Spredningsmodell input'!$C$12)</f>
        <v>#VALUE!</v>
      </c>
      <c r="G19" s="328" t="e">
        <f>C19/Stoff!$F19</f>
        <v>#DIV/0!</v>
      </c>
      <c r="H19" s="328" t="e">
        <f>D19/Stoff!$F19</f>
        <v>#VALUE!</v>
      </c>
      <c r="I19" s="328" t="e">
        <f>E19/Stoff!$F19</f>
        <v>#VALUE!</v>
      </c>
      <c r="J19" s="328" t="e">
        <f>F19/Stoff!$F19</f>
        <v>#VALUE!</v>
      </c>
      <c r="K19" s="328" t="e">
        <f>IF(G19&lt;1,0,-LN((Stoff!$F19*('1a. Spredningsmodell input'!$C$18*'1a. Spredningsmodell input'!$C$17*'1a. Spredningsmodell input'!$C$16*1000*'1a. Spredningsmodell input'!$C$12)/1000000)/(Mellomregninger!$D19-Stoff!$P19*Mellomregninger!$D19))/(Mellomregninger!$F19+Stoff!$L19*365))</f>
        <v>#DIV/0!</v>
      </c>
    </row>
    <row r="20" spans="1:11" x14ac:dyDescent="0.35">
      <c r="A20" s="239" t="s">
        <v>190</v>
      </c>
      <c r="B20" s="320" t="str">
        <f>Mellomregninger!D20</f>
        <v/>
      </c>
      <c r="C20" s="318" t="e">
        <f>'1b. Kons. umettet jord'!E20</f>
        <v>#DIV/0!</v>
      </c>
      <c r="D20" s="318" t="e">
        <f>(Mellomregninger!AU20+Mellomregninger!AV20)*1000000/('1a. Spredningsmodell input'!$C$18*'1a. Spredningsmodell input'!$C$17*'1a. Spredningsmodell input'!$C$16*1000*'1a. Spredningsmodell input'!$C$12)</f>
        <v>#VALUE!</v>
      </c>
      <c r="E20" s="318" t="e">
        <f>(Mellomregninger!BG20+Mellomregninger!BH20)*1000000/('1a. Spredningsmodell input'!$C$18*'1a. Spredningsmodell input'!$C$17*'1a. Spredningsmodell input'!$C$16*1000*'1a. Spredningsmodell input'!$C$12)</f>
        <v>#VALUE!</v>
      </c>
      <c r="F20" s="318" t="e">
        <f>(Mellomregninger!BS20+Mellomregninger!BT20)*1000000/('1a. Spredningsmodell input'!$C$18*'1a. Spredningsmodell input'!$C$17*'1a. Spredningsmodell input'!$C$16*1000*'1a. Spredningsmodell input'!$C$12)</f>
        <v>#VALUE!</v>
      </c>
      <c r="G20" s="328" t="e">
        <f>C20/Stoff!$F20</f>
        <v>#DIV/0!</v>
      </c>
      <c r="H20" s="328" t="e">
        <f>D20/Stoff!$F20</f>
        <v>#VALUE!</v>
      </c>
      <c r="I20" s="328" t="e">
        <f>E20/Stoff!$F20</f>
        <v>#VALUE!</v>
      </c>
      <c r="J20" s="328" t="e">
        <f>F20/Stoff!$F20</f>
        <v>#VALUE!</v>
      </c>
      <c r="K20" s="328" t="e">
        <f>IF(G20&lt;1,0,-LN((Stoff!$F20*('1a. Spredningsmodell input'!$C$18*'1a. Spredningsmodell input'!$C$17*'1a. Spredningsmodell input'!$C$16*1000*'1a. Spredningsmodell input'!$C$12)/1000000)/(Mellomregninger!$D20-Stoff!$P20*Mellomregninger!$D20))/(Mellomregninger!$F20+Stoff!$L20*365))</f>
        <v>#DIV/0!</v>
      </c>
    </row>
    <row r="21" spans="1:11" x14ac:dyDescent="0.35">
      <c r="A21" s="239" t="s">
        <v>189</v>
      </c>
      <c r="B21" s="320" t="str">
        <f>Mellomregninger!D21</f>
        <v/>
      </c>
      <c r="C21" s="318" t="e">
        <f>'1b. Kons. umettet jord'!E21</f>
        <v>#DIV/0!</v>
      </c>
      <c r="D21" s="318" t="e">
        <f>(Mellomregninger!AU21+Mellomregninger!AV21)*1000000/('1a. Spredningsmodell input'!$C$18*'1a. Spredningsmodell input'!$C$17*'1a. Spredningsmodell input'!$C$16*1000*'1a. Spredningsmodell input'!$C$12)</f>
        <v>#VALUE!</v>
      </c>
      <c r="E21" s="318" t="e">
        <f>(Mellomregninger!BG21+Mellomregninger!BH21)*1000000/('1a. Spredningsmodell input'!$C$18*'1a. Spredningsmodell input'!$C$17*'1a. Spredningsmodell input'!$C$16*1000*'1a. Spredningsmodell input'!$C$12)</f>
        <v>#VALUE!</v>
      </c>
      <c r="F21" s="318" t="e">
        <f>(Mellomregninger!BS21+Mellomregninger!BT21)*1000000/('1a. Spredningsmodell input'!$C$18*'1a. Spredningsmodell input'!$C$17*'1a. Spredningsmodell input'!$C$16*1000*'1a. Spredningsmodell input'!$C$12)</f>
        <v>#VALUE!</v>
      </c>
      <c r="G21" s="328" t="e">
        <f>C21/Stoff!$F21</f>
        <v>#DIV/0!</v>
      </c>
      <c r="H21" s="328" t="e">
        <f>D21/Stoff!$F21</f>
        <v>#VALUE!</v>
      </c>
      <c r="I21" s="328" t="e">
        <f>E21/Stoff!$F21</f>
        <v>#VALUE!</v>
      </c>
      <c r="J21" s="328" t="e">
        <f>F21/Stoff!$F21</f>
        <v>#VALUE!</v>
      </c>
      <c r="K21" s="328" t="e">
        <f>IF(G21&lt;1,0,-LN((Stoff!$F21*('1a. Spredningsmodell input'!$C$18*'1a. Spredningsmodell input'!$C$17*'1a. Spredningsmodell input'!$C$16*1000*'1a. Spredningsmodell input'!$C$12)/1000000)/(Mellomregninger!$D21-Stoff!$P21*Mellomregninger!$D21))/(Mellomregninger!$F21+Stoff!$L21*365))</f>
        <v>#DIV/0!</v>
      </c>
    </row>
    <row r="22" spans="1:11" x14ac:dyDescent="0.35">
      <c r="A22" s="239" t="s">
        <v>188</v>
      </c>
      <c r="B22" s="320" t="str">
        <f>Mellomregninger!D22</f>
        <v/>
      </c>
      <c r="C22" s="318" t="e">
        <f>'1b. Kons. umettet jord'!E22</f>
        <v>#DIV/0!</v>
      </c>
      <c r="D22" s="318" t="e">
        <f>(Mellomregninger!AU22+Mellomregninger!AV22)*1000000/('1a. Spredningsmodell input'!$C$18*'1a. Spredningsmodell input'!$C$17*'1a. Spredningsmodell input'!$C$16*1000*'1a. Spredningsmodell input'!$C$12)</f>
        <v>#VALUE!</v>
      </c>
      <c r="E22" s="318" t="e">
        <f>(Mellomregninger!BG22+Mellomregninger!BH22)*1000000/('1a. Spredningsmodell input'!$C$18*'1a. Spredningsmodell input'!$C$17*'1a. Spredningsmodell input'!$C$16*1000*'1a. Spredningsmodell input'!$C$12)</f>
        <v>#VALUE!</v>
      </c>
      <c r="F22" s="318" t="e">
        <f>(Mellomregninger!BS22+Mellomregninger!BT22)*1000000/('1a. Spredningsmodell input'!$C$18*'1a. Spredningsmodell input'!$C$17*'1a. Spredningsmodell input'!$C$16*1000*'1a. Spredningsmodell input'!$C$12)</f>
        <v>#VALUE!</v>
      </c>
      <c r="G22" s="328" t="e">
        <f>C22/Stoff!$F22</f>
        <v>#DIV/0!</v>
      </c>
      <c r="H22" s="328" t="e">
        <f>D22/Stoff!$F22</f>
        <v>#VALUE!</v>
      </c>
      <c r="I22" s="328" t="e">
        <f>E22/Stoff!$F22</f>
        <v>#VALUE!</v>
      </c>
      <c r="J22" s="328" t="e">
        <f>F22/Stoff!$F22</f>
        <v>#VALUE!</v>
      </c>
      <c r="K22" s="328" t="e">
        <f>IF(G22&lt;1,0,-LN((Stoff!$F22*('1a. Spredningsmodell input'!$C$18*'1a. Spredningsmodell input'!$C$17*'1a. Spredningsmodell input'!$C$16*1000*'1a. Spredningsmodell input'!$C$12)/1000000)/(Mellomregninger!$D22-Stoff!$P22*Mellomregninger!$D22))/(Mellomregninger!$F22+Stoff!$L22*365))</f>
        <v>#DIV/0!</v>
      </c>
    </row>
    <row r="23" spans="1:11" x14ac:dyDescent="0.35">
      <c r="A23" s="239" t="s">
        <v>187</v>
      </c>
      <c r="B23" s="320" t="str">
        <f>Mellomregninger!D23</f>
        <v/>
      </c>
      <c r="C23" s="318" t="e">
        <f>'1b. Kons. umettet jord'!E23</f>
        <v>#DIV/0!</v>
      </c>
      <c r="D23" s="318" t="e">
        <f>(Mellomregninger!AU23+Mellomregninger!AV23)*1000000/('1a. Spredningsmodell input'!$C$18*'1a. Spredningsmodell input'!$C$17*'1a. Spredningsmodell input'!$C$16*1000*'1a. Spredningsmodell input'!$C$12)</f>
        <v>#VALUE!</v>
      </c>
      <c r="E23" s="318" t="e">
        <f>(Mellomregninger!BG23+Mellomregninger!BH23)*1000000/('1a. Spredningsmodell input'!$C$18*'1a. Spredningsmodell input'!$C$17*'1a. Spredningsmodell input'!$C$16*1000*'1a. Spredningsmodell input'!$C$12)</f>
        <v>#VALUE!</v>
      </c>
      <c r="F23" s="318" t="e">
        <f>(Mellomregninger!BS23+Mellomregninger!BT23)*1000000/('1a. Spredningsmodell input'!$C$18*'1a. Spredningsmodell input'!$C$17*'1a. Spredningsmodell input'!$C$16*1000*'1a. Spredningsmodell input'!$C$12)</f>
        <v>#VALUE!</v>
      </c>
      <c r="G23" s="328" t="e">
        <f>C23/Stoff!$F23</f>
        <v>#DIV/0!</v>
      </c>
      <c r="H23" s="328" t="e">
        <f>D23/Stoff!$F23</f>
        <v>#VALUE!</v>
      </c>
      <c r="I23" s="328" t="e">
        <f>E23/Stoff!$F23</f>
        <v>#VALUE!</v>
      </c>
      <c r="J23" s="328" t="e">
        <f>F23/Stoff!$F23</f>
        <v>#VALUE!</v>
      </c>
      <c r="K23" s="328" t="e">
        <f>IF(G23&lt;1,0,-LN((Stoff!$F23*('1a. Spredningsmodell input'!$C$18*'1a. Spredningsmodell input'!$C$17*'1a. Spredningsmodell input'!$C$16*1000*'1a. Spredningsmodell input'!$C$12)/1000000)/(Mellomregninger!$D23-Stoff!$P23*Mellomregninger!$D23))/(Mellomregninger!$F23+Stoff!$L23*365))</f>
        <v>#DIV/0!</v>
      </c>
    </row>
    <row r="24" spans="1:11" x14ac:dyDescent="0.35">
      <c r="A24" s="239" t="s">
        <v>186</v>
      </c>
      <c r="B24" s="320" t="str">
        <f>Mellomregninger!D24</f>
        <v/>
      </c>
      <c r="C24" s="318" t="e">
        <f>'1b. Kons. umettet jord'!E24</f>
        <v>#DIV/0!</v>
      </c>
      <c r="D24" s="318" t="e">
        <f>(Mellomregninger!AU24+Mellomregninger!AV24)*1000000/('1a. Spredningsmodell input'!$C$18*'1a. Spredningsmodell input'!$C$17*'1a. Spredningsmodell input'!$C$16*1000*'1a. Spredningsmodell input'!$C$12)</f>
        <v>#VALUE!</v>
      </c>
      <c r="E24" s="318" t="e">
        <f>(Mellomregninger!BG24+Mellomregninger!BH24)*1000000/('1a. Spredningsmodell input'!$C$18*'1a. Spredningsmodell input'!$C$17*'1a. Spredningsmodell input'!$C$16*1000*'1a. Spredningsmodell input'!$C$12)</f>
        <v>#VALUE!</v>
      </c>
      <c r="F24" s="318" t="e">
        <f>(Mellomregninger!BS24+Mellomregninger!BT24)*1000000/('1a. Spredningsmodell input'!$C$18*'1a. Spredningsmodell input'!$C$17*'1a. Spredningsmodell input'!$C$16*1000*'1a. Spredningsmodell input'!$C$12)</f>
        <v>#VALUE!</v>
      </c>
      <c r="G24" s="328" t="e">
        <f>C24/Stoff!$F24</f>
        <v>#DIV/0!</v>
      </c>
      <c r="H24" s="328" t="e">
        <f>D24/Stoff!$F24</f>
        <v>#VALUE!</v>
      </c>
      <c r="I24" s="328" t="e">
        <f>E24/Stoff!$F24</f>
        <v>#VALUE!</v>
      </c>
      <c r="J24" s="328" t="e">
        <f>F24/Stoff!$F24</f>
        <v>#VALUE!</v>
      </c>
      <c r="K24" s="328" t="e">
        <f>IF(G24&lt;1,0,-LN((Stoff!$F24*('1a. Spredningsmodell input'!$C$18*'1a. Spredningsmodell input'!$C$17*'1a. Spredningsmodell input'!$C$16*1000*'1a. Spredningsmodell input'!$C$12)/1000000)/(Mellomregninger!$D24-Stoff!$P24*Mellomregninger!$D24))/(Mellomregninger!$F24+Stoff!$L24*365))</f>
        <v>#DIV/0!</v>
      </c>
    </row>
    <row r="25" spans="1:11" x14ac:dyDescent="0.35">
      <c r="A25" s="239" t="s">
        <v>185</v>
      </c>
      <c r="B25" s="320" t="str">
        <f>Mellomregninger!D25</f>
        <v/>
      </c>
      <c r="C25" s="318" t="e">
        <f>'1b. Kons. umettet jord'!E25</f>
        <v>#DIV/0!</v>
      </c>
      <c r="D25" s="318" t="e">
        <f>(Mellomregninger!AU25+Mellomregninger!AV25)*1000000/('1a. Spredningsmodell input'!$C$18*'1a. Spredningsmodell input'!$C$17*'1a. Spredningsmodell input'!$C$16*1000*'1a. Spredningsmodell input'!$C$12)</f>
        <v>#VALUE!</v>
      </c>
      <c r="E25" s="318" t="e">
        <f>(Mellomregninger!BG25+Mellomregninger!BH25)*1000000/('1a. Spredningsmodell input'!$C$18*'1a. Spredningsmodell input'!$C$17*'1a. Spredningsmodell input'!$C$16*1000*'1a. Spredningsmodell input'!$C$12)</f>
        <v>#VALUE!</v>
      </c>
      <c r="F25" s="318" t="e">
        <f>(Mellomregninger!BS25+Mellomregninger!BT25)*1000000/('1a. Spredningsmodell input'!$C$18*'1a. Spredningsmodell input'!$C$17*'1a. Spredningsmodell input'!$C$16*1000*'1a. Spredningsmodell input'!$C$12)</f>
        <v>#VALUE!</v>
      </c>
      <c r="G25" s="328" t="e">
        <f>C25/Stoff!$F25</f>
        <v>#DIV/0!</v>
      </c>
      <c r="H25" s="328" t="e">
        <f>D25/Stoff!$F25</f>
        <v>#VALUE!</v>
      </c>
      <c r="I25" s="328" t="e">
        <f>E25/Stoff!$F25</f>
        <v>#VALUE!</v>
      </c>
      <c r="J25" s="328" t="e">
        <f>F25/Stoff!$F25</f>
        <v>#VALUE!</v>
      </c>
      <c r="K25" s="328" t="e">
        <f>IF(G25&lt;1,0,-LN((Stoff!$F25*('1a. Spredningsmodell input'!$C$18*'1a. Spredningsmodell input'!$C$17*'1a. Spredningsmodell input'!$C$16*1000*'1a. Spredningsmodell input'!$C$12)/1000000)/(Mellomregninger!$D25-Stoff!$P25*Mellomregninger!$D25))/(Mellomregninger!$F25+Stoff!$L25*365))</f>
        <v>#DIV/0!</v>
      </c>
    </row>
    <row r="26" spans="1:11" x14ac:dyDescent="0.35">
      <c r="A26" s="242" t="s">
        <v>184</v>
      </c>
      <c r="B26" s="320" t="str">
        <f>Mellomregninger!D26</f>
        <v/>
      </c>
      <c r="C26" s="318" t="e">
        <f>'1b. Kons. umettet jord'!E26</f>
        <v>#DIV/0!</v>
      </c>
      <c r="D26" s="318" t="e">
        <f>(Mellomregninger!AU26+Mellomregninger!AV26)*1000000/('1a. Spredningsmodell input'!$C$18*'1a. Spredningsmodell input'!$C$17*'1a. Spredningsmodell input'!$C$16*1000*'1a. Spredningsmodell input'!$C$12)</f>
        <v>#VALUE!</v>
      </c>
      <c r="E26" s="318" t="e">
        <f>(Mellomregninger!BG26+Mellomregninger!BH26)*1000000/('1a. Spredningsmodell input'!$C$18*'1a. Spredningsmodell input'!$C$17*'1a. Spredningsmodell input'!$C$16*1000*'1a. Spredningsmodell input'!$C$12)</f>
        <v>#VALUE!</v>
      </c>
      <c r="F26" s="318" t="e">
        <f>(Mellomregninger!BS26+Mellomregninger!BT26)*1000000/('1a. Spredningsmodell input'!$C$18*'1a. Spredningsmodell input'!$C$17*'1a. Spredningsmodell input'!$C$16*1000*'1a. Spredningsmodell input'!$C$12)</f>
        <v>#VALUE!</v>
      </c>
      <c r="G26" s="328" t="e">
        <f>C26/Stoff!$F26</f>
        <v>#DIV/0!</v>
      </c>
      <c r="H26" s="328" t="e">
        <f>D26/Stoff!$F26</f>
        <v>#VALUE!</v>
      </c>
      <c r="I26" s="328" t="e">
        <f>E26/Stoff!$F26</f>
        <v>#VALUE!</v>
      </c>
      <c r="J26" s="328" t="e">
        <f>F26/Stoff!$F26</f>
        <v>#VALUE!</v>
      </c>
      <c r="K26" s="328" t="e">
        <f>IF(G26&lt;1,0,-LN((Stoff!$F26*('1a. Spredningsmodell input'!$C$18*'1a. Spredningsmodell input'!$C$17*'1a. Spredningsmodell input'!$C$16*1000*'1a. Spredningsmodell input'!$C$12)/1000000)/(Mellomregninger!$D26-Stoff!$P26*Mellomregninger!$D26))/(Mellomregninger!$F26+Stoff!$L26*365))</f>
        <v>#DIV/0!</v>
      </c>
    </row>
    <row r="27" spans="1:11" x14ac:dyDescent="0.35">
      <c r="A27" s="242" t="s">
        <v>183</v>
      </c>
      <c r="B27" s="320" t="str">
        <f>Mellomregninger!D27</f>
        <v/>
      </c>
      <c r="C27" s="318" t="e">
        <f>'1b. Kons. umettet jord'!E27</f>
        <v>#DIV/0!</v>
      </c>
      <c r="D27" s="318" t="e">
        <f>(Mellomregninger!AU27+Mellomregninger!AV27)*1000000/('1a. Spredningsmodell input'!$C$18*'1a. Spredningsmodell input'!$C$17*'1a. Spredningsmodell input'!$C$16*1000*'1a. Spredningsmodell input'!$C$12)</f>
        <v>#VALUE!</v>
      </c>
      <c r="E27" s="318" t="e">
        <f>(Mellomregninger!BG27+Mellomregninger!BH27)*1000000/('1a. Spredningsmodell input'!$C$18*'1a. Spredningsmodell input'!$C$17*'1a. Spredningsmodell input'!$C$16*1000*'1a. Spredningsmodell input'!$C$12)</f>
        <v>#VALUE!</v>
      </c>
      <c r="F27" s="318" t="e">
        <f>(Mellomregninger!BS27+Mellomregninger!BT27)*1000000/('1a. Spredningsmodell input'!$C$18*'1a. Spredningsmodell input'!$C$17*'1a. Spredningsmodell input'!$C$16*1000*'1a. Spredningsmodell input'!$C$12)</f>
        <v>#VALUE!</v>
      </c>
      <c r="G27" s="328" t="e">
        <f>C27/Stoff!$F27</f>
        <v>#DIV/0!</v>
      </c>
      <c r="H27" s="328" t="e">
        <f>D27/Stoff!$F27</f>
        <v>#VALUE!</v>
      </c>
      <c r="I27" s="328" t="e">
        <f>E27/Stoff!$F27</f>
        <v>#VALUE!</v>
      </c>
      <c r="J27" s="328" t="e">
        <f>F27/Stoff!$F27</f>
        <v>#VALUE!</v>
      </c>
      <c r="K27" s="328" t="e">
        <f>IF(G27&lt;1,0,-LN((Stoff!$F27*('1a. Spredningsmodell input'!$C$18*'1a. Spredningsmodell input'!$C$17*'1a. Spredningsmodell input'!$C$16*1000*'1a. Spredningsmodell input'!$C$12)/1000000)/(Mellomregninger!$D27-Stoff!$P27*Mellomregninger!$D27))/(Mellomregninger!$F27+Stoff!$L27*365))</f>
        <v>#DIV/0!</v>
      </c>
    </row>
    <row r="28" spans="1:11" x14ac:dyDescent="0.35">
      <c r="A28" s="239" t="s">
        <v>182</v>
      </c>
      <c r="B28" s="320" t="str">
        <f>Mellomregninger!D28</f>
        <v/>
      </c>
      <c r="C28" s="318" t="e">
        <f>'1b. Kons. umettet jord'!E28</f>
        <v>#DIV/0!</v>
      </c>
      <c r="D28" s="318" t="e">
        <f>(Mellomregninger!AU28+Mellomregninger!AV28)*1000000/('1a. Spredningsmodell input'!$C$18*'1a. Spredningsmodell input'!$C$17*'1a. Spredningsmodell input'!$C$16*1000*'1a. Spredningsmodell input'!$C$12)</f>
        <v>#VALUE!</v>
      </c>
      <c r="E28" s="318" t="e">
        <f>(Mellomregninger!BG28+Mellomregninger!BH28)*1000000/('1a. Spredningsmodell input'!$C$18*'1a. Spredningsmodell input'!$C$17*'1a. Spredningsmodell input'!$C$16*1000*'1a. Spredningsmodell input'!$C$12)</f>
        <v>#VALUE!</v>
      </c>
      <c r="F28" s="318" t="e">
        <f>(Mellomregninger!BS28+Mellomregninger!BT28)*1000000/('1a. Spredningsmodell input'!$C$18*'1a. Spredningsmodell input'!$C$17*'1a. Spredningsmodell input'!$C$16*1000*'1a. Spredningsmodell input'!$C$12)</f>
        <v>#VALUE!</v>
      </c>
      <c r="G28" s="328" t="e">
        <f>C28/Stoff!$F28</f>
        <v>#DIV/0!</v>
      </c>
      <c r="H28" s="328" t="e">
        <f>D28/Stoff!$F28</f>
        <v>#VALUE!</v>
      </c>
      <c r="I28" s="328" t="e">
        <f>E28/Stoff!$F28</f>
        <v>#VALUE!</v>
      </c>
      <c r="J28" s="328" t="e">
        <f>F28/Stoff!$F28</f>
        <v>#VALUE!</v>
      </c>
      <c r="K28" s="328" t="e">
        <f>IF(G28&lt;1,0,-LN((Stoff!$F28*('1a. Spredningsmodell input'!$C$18*'1a. Spredningsmodell input'!$C$17*'1a. Spredningsmodell input'!$C$16*1000*'1a. Spredningsmodell input'!$C$12)/1000000)/(Mellomregninger!$D28-Stoff!$P28*Mellomregninger!$D28))/(Mellomregninger!$F28+Stoff!$L28*365))</f>
        <v>#DIV/0!</v>
      </c>
    </row>
    <row r="29" spans="1:11" x14ac:dyDescent="0.35">
      <c r="A29" s="239" t="s">
        <v>181</v>
      </c>
      <c r="B29" s="320" t="str">
        <f>Mellomregninger!D29</f>
        <v/>
      </c>
      <c r="C29" s="318" t="e">
        <f>'1b. Kons. umettet jord'!E29</f>
        <v>#DIV/0!</v>
      </c>
      <c r="D29" s="318" t="e">
        <f>(Mellomregninger!AU29+Mellomregninger!AV29)*1000000/('1a. Spredningsmodell input'!$C$18*'1a. Spredningsmodell input'!$C$17*'1a. Spredningsmodell input'!$C$16*1000*'1a. Spredningsmodell input'!$C$12)</f>
        <v>#VALUE!</v>
      </c>
      <c r="E29" s="318" t="e">
        <f>(Mellomregninger!BG29+Mellomregninger!BH29)*1000000/('1a. Spredningsmodell input'!$C$18*'1a. Spredningsmodell input'!$C$17*'1a. Spredningsmodell input'!$C$16*1000*'1a. Spredningsmodell input'!$C$12)</f>
        <v>#VALUE!</v>
      </c>
      <c r="F29" s="318" t="e">
        <f>(Mellomregninger!BS29+Mellomregninger!BT29)*1000000/('1a. Spredningsmodell input'!$C$18*'1a. Spredningsmodell input'!$C$17*'1a. Spredningsmodell input'!$C$16*1000*'1a. Spredningsmodell input'!$C$12)</f>
        <v>#VALUE!</v>
      </c>
      <c r="G29" s="328" t="e">
        <f>C29/Stoff!$F29</f>
        <v>#DIV/0!</v>
      </c>
      <c r="H29" s="328" t="e">
        <f>D29/Stoff!$F29</f>
        <v>#VALUE!</v>
      </c>
      <c r="I29" s="328" t="e">
        <f>E29/Stoff!$F29</f>
        <v>#VALUE!</v>
      </c>
      <c r="J29" s="328" t="e">
        <f>F29/Stoff!$F29</f>
        <v>#VALUE!</v>
      </c>
      <c r="K29" s="328" t="e">
        <f>IF(G29&lt;1,0,-LN((Stoff!$F29*('1a. Spredningsmodell input'!$C$18*'1a. Spredningsmodell input'!$C$17*'1a. Spredningsmodell input'!$C$16*1000*'1a. Spredningsmodell input'!$C$12)/1000000)/(Mellomregninger!$D29-Stoff!$P29*Mellomregninger!$D29))/(Mellomregninger!$F29+Stoff!$L29*365))</f>
        <v>#DIV/0!</v>
      </c>
    </row>
    <row r="30" spans="1:11" x14ac:dyDescent="0.35">
      <c r="A30" s="239" t="s">
        <v>180</v>
      </c>
      <c r="B30" s="320" t="str">
        <f>Mellomregninger!D30</f>
        <v/>
      </c>
      <c r="C30" s="318" t="e">
        <f>'1b. Kons. umettet jord'!E30</f>
        <v>#DIV/0!</v>
      </c>
      <c r="D30" s="318" t="e">
        <f>(Mellomregninger!AU30+Mellomregninger!AV30)*1000000/('1a. Spredningsmodell input'!$C$18*'1a. Spredningsmodell input'!$C$17*'1a. Spredningsmodell input'!$C$16*1000*'1a. Spredningsmodell input'!$C$12)</f>
        <v>#VALUE!</v>
      </c>
      <c r="E30" s="318" t="e">
        <f>(Mellomregninger!BG30+Mellomregninger!BH30)*1000000/('1a. Spredningsmodell input'!$C$18*'1a. Spredningsmodell input'!$C$17*'1a. Spredningsmodell input'!$C$16*1000*'1a. Spredningsmodell input'!$C$12)</f>
        <v>#VALUE!</v>
      </c>
      <c r="F30" s="318" t="e">
        <f>(Mellomregninger!BS30+Mellomregninger!BT30)*1000000/('1a. Spredningsmodell input'!$C$18*'1a. Spredningsmodell input'!$C$17*'1a. Spredningsmodell input'!$C$16*1000*'1a. Spredningsmodell input'!$C$12)</f>
        <v>#VALUE!</v>
      </c>
      <c r="G30" s="328" t="e">
        <f>C30/Stoff!$F30</f>
        <v>#DIV/0!</v>
      </c>
      <c r="H30" s="328" t="e">
        <f>D30/Stoff!$F30</f>
        <v>#VALUE!</v>
      </c>
      <c r="I30" s="328" t="e">
        <f>E30/Stoff!$F30</f>
        <v>#VALUE!</v>
      </c>
      <c r="J30" s="328" t="e">
        <f>F30/Stoff!$F30</f>
        <v>#VALUE!</v>
      </c>
      <c r="K30" s="328" t="e">
        <f>IF(G30&lt;1,0,-LN((Stoff!$F30*('1a. Spredningsmodell input'!$C$18*'1a. Spredningsmodell input'!$C$17*'1a. Spredningsmodell input'!$C$16*1000*'1a. Spredningsmodell input'!$C$12)/1000000)/(Mellomregninger!$D30-Stoff!$P30*Mellomregninger!$D30))/(Mellomregninger!$F30+Stoff!$L30*365))</f>
        <v>#DIV/0!</v>
      </c>
    </row>
    <row r="31" spans="1:11" x14ac:dyDescent="0.35">
      <c r="A31" s="239" t="s">
        <v>179</v>
      </c>
      <c r="B31" s="320" t="str">
        <f>Mellomregninger!D31</f>
        <v/>
      </c>
      <c r="C31" s="318" t="e">
        <f>'1b. Kons. umettet jord'!E31</f>
        <v>#DIV/0!</v>
      </c>
      <c r="D31" s="318" t="e">
        <f>(Mellomregninger!AU31+Mellomregninger!AV31)*1000000/('1a. Spredningsmodell input'!$C$18*'1a. Spredningsmodell input'!$C$17*'1a. Spredningsmodell input'!$C$16*1000*'1a. Spredningsmodell input'!$C$12)</f>
        <v>#VALUE!</v>
      </c>
      <c r="E31" s="318" t="e">
        <f>(Mellomregninger!BG31+Mellomregninger!BH31)*1000000/('1a. Spredningsmodell input'!$C$18*'1a. Spredningsmodell input'!$C$17*'1a. Spredningsmodell input'!$C$16*1000*'1a. Spredningsmodell input'!$C$12)</f>
        <v>#VALUE!</v>
      </c>
      <c r="F31" s="318" t="e">
        <f>(Mellomregninger!BS31+Mellomregninger!BT31)*1000000/('1a. Spredningsmodell input'!$C$18*'1a. Spredningsmodell input'!$C$17*'1a. Spredningsmodell input'!$C$16*1000*'1a. Spredningsmodell input'!$C$12)</f>
        <v>#VALUE!</v>
      </c>
      <c r="G31" s="328" t="e">
        <f>C31/Stoff!$F31</f>
        <v>#DIV/0!</v>
      </c>
      <c r="H31" s="328" t="e">
        <f>D31/Stoff!$F31</f>
        <v>#VALUE!</v>
      </c>
      <c r="I31" s="328" t="e">
        <f>E31/Stoff!$F31</f>
        <v>#VALUE!</v>
      </c>
      <c r="J31" s="328" t="e">
        <f>F31/Stoff!$F31</f>
        <v>#VALUE!</v>
      </c>
      <c r="K31" s="328" t="e">
        <f>IF(G31&lt;1,0,-LN((Stoff!$F31*('1a. Spredningsmodell input'!$C$18*'1a. Spredningsmodell input'!$C$17*'1a. Spredningsmodell input'!$C$16*1000*'1a. Spredningsmodell input'!$C$12)/1000000)/(Mellomregninger!$D31-Stoff!$P31*Mellomregninger!$D31))/(Mellomregninger!$F31+Stoff!$L31*365))</f>
        <v>#DIV/0!</v>
      </c>
    </row>
    <row r="32" spans="1:11" x14ac:dyDescent="0.35">
      <c r="A32" s="239" t="s">
        <v>178</v>
      </c>
      <c r="B32" s="320" t="str">
        <f>Mellomregninger!D32</f>
        <v/>
      </c>
      <c r="C32" s="318" t="e">
        <f>'1b. Kons. umettet jord'!E32</f>
        <v>#DIV/0!</v>
      </c>
      <c r="D32" s="318" t="e">
        <f>(Mellomregninger!AU32+Mellomregninger!AV32)*1000000/('1a. Spredningsmodell input'!$C$18*'1a. Spredningsmodell input'!$C$17*'1a. Spredningsmodell input'!$C$16*1000*'1a. Spredningsmodell input'!$C$12)</f>
        <v>#VALUE!</v>
      </c>
      <c r="E32" s="318" t="e">
        <f>(Mellomregninger!BG32+Mellomregninger!BH32)*1000000/('1a. Spredningsmodell input'!$C$18*'1a. Spredningsmodell input'!$C$17*'1a. Spredningsmodell input'!$C$16*1000*'1a. Spredningsmodell input'!$C$12)</f>
        <v>#VALUE!</v>
      </c>
      <c r="F32" s="318" t="e">
        <f>(Mellomregninger!BS32+Mellomregninger!BT32)*1000000/('1a. Spredningsmodell input'!$C$18*'1a. Spredningsmodell input'!$C$17*'1a. Spredningsmodell input'!$C$16*1000*'1a. Spredningsmodell input'!$C$12)</f>
        <v>#VALUE!</v>
      </c>
      <c r="G32" s="328" t="e">
        <f>C32/Stoff!$F32</f>
        <v>#DIV/0!</v>
      </c>
      <c r="H32" s="328" t="e">
        <f>D32/Stoff!$F32</f>
        <v>#VALUE!</v>
      </c>
      <c r="I32" s="328" t="e">
        <f>E32/Stoff!$F32</f>
        <v>#VALUE!</v>
      </c>
      <c r="J32" s="328" t="e">
        <f>F32/Stoff!$F32</f>
        <v>#VALUE!</v>
      </c>
      <c r="K32" s="328" t="e">
        <f>IF(G32&lt;1,0,-LN((Stoff!$F32*('1a. Spredningsmodell input'!$C$18*'1a. Spredningsmodell input'!$C$17*'1a. Spredningsmodell input'!$C$16*1000*'1a. Spredningsmodell input'!$C$12)/1000000)/(Mellomregninger!$D32-Stoff!$P32*Mellomregninger!$D32))/(Mellomregninger!$F32+Stoff!$L32*365))</f>
        <v>#DIV/0!</v>
      </c>
    </row>
    <row r="33" spans="1:11" x14ac:dyDescent="0.35">
      <c r="A33" s="242" t="s">
        <v>177</v>
      </c>
      <c r="B33" s="320" t="str">
        <f>Mellomregninger!D33</f>
        <v/>
      </c>
      <c r="C33" s="318" t="e">
        <f>'1b. Kons. umettet jord'!E33</f>
        <v>#DIV/0!</v>
      </c>
      <c r="D33" s="318" t="e">
        <f>(Mellomregninger!AU33+Mellomregninger!AV33)*1000000/('1a. Spredningsmodell input'!$C$18*'1a. Spredningsmodell input'!$C$17*'1a. Spredningsmodell input'!$C$16*1000*'1a. Spredningsmodell input'!$C$12)</f>
        <v>#VALUE!</v>
      </c>
      <c r="E33" s="318" t="e">
        <f>(Mellomregninger!BG33+Mellomregninger!BH33)*1000000/('1a. Spredningsmodell input'!$C$18*'1a. Spredningsmodell input'!$C$17*'1a. Spredningsmodell input'!$C$16*1000*'1a. Spredningsmodell input'!$C$12)</f>
        <v>#VALUE!</v>
      </c>
      <c r="F33" s="318" t="e">
        <f>(Mellomregninger!BS33+Mellomregninger!BT33)*1000000/('1a. Spredningsmodell input'!$C$18*'1a. Spredningsmodell input'!$C$17*'1a. Spredningsmodell input'!$C$16*1000*'1a. Spredningsmodell input'!$C$12)</f>
        <v>#VALUE!</v>
      </c>
      <c r="G33" s="328" t="e">
        <f>C33/Stoff!$F33</f>
        <v>#DIV/0!</v>
      </c>
      <c r="H33" s="328" t="e">
        <f>D33/Stoff!$F33</f>
        <v>#VALUE!</v>
      </c>
      <c r="I33" s="328" t="e">
        <f>E33/Stoff!$F33</f>
        <v>#VALUE!</v>
      </c>
      <c r="J33" s="328" t="e">
        <f>F33/Stoff!$F33</f>
        <v>#VALUE!</v>
      </c>
      <c r="K33" s="328" t="e">
        <f>IF(G33&lt;1,0,-LN((Stoff!$F33*('1a. Spredningsmodell input'!$C$18*'1a. Spredningsmodell input'!$C$17*'1a. Spredningsmodell input'!$C$16*1000*'1a. Spredningsmodell input'!$C$12)/1000000)/(Mellomregninger!$D33-Stoff!$P33*Mellomregninger!$D33))/(Mellomregninger!$F33+Stoff!$L33*365))</f>
        <v>#DIV/0!</v>
      </c>
    </row>
    <row r="34" spans="1:11" x14ac:dyDescent="0.35">
      <c r="A34" s="242" t="s">
        <v>176</v>
      </c>
      <c r="B34" s="320" t="str">
        <f>Mellomregninger!D34</f>
        <v/>
      </c>
      <c r="C34" s="318" t="e">
        <f>'1b. Kons. umettet jord'!E34</f>
        <v>#DIV/0!</v>
      </c>
      <c r="D34" s="318" t="e">
        <f>(Mellomregninger!AU34+Mellomregninger!AV34)*1000000/('1a. Spredningsmodell input'!$C$18*'1a. Spredningsmodell input'!$C$17*'1a. Spredningsmodell input'!$C$16*1000*'1a. Spredningsmodell input'!$C$12)</f>
        <v>#VALUE!</v>
      </c>
      <c r="E34" s="318" t="e">
        <f>(Mellomregninger!BG34+Mellomregninger!BH34)*1000000/('1a. Spredningsmodell input'!$C$18*'1a. Spredningsmodell input'!$C$17*'1a. Spredningsmodell input'!$C$16*1000*'1a. Spredningsmodell input'!$C$12)</f>
        <v>#VALUE!</v>
      </c>
      <c r="F34" s="318" t="e">
        <f>(Mellomregninger!BS34+Mellomregninger!BT34)*1000000/('1a. Spredningsmodell input'!$C$18*'1a. Spredningsmodell input'!$C$17*'1a. Spredningsmodell input'!$C$16*1000*'1a. Spredningsmodell input'!$C$12)</f>
        <v>#VALUE!</v>
      </c>
      <c r="G34" s="328" t="e">
        <f>C34/Stoff!$F34</f>
        <v>#DIV/0!</v>
      </c>
      <c r="H34" s="328" t="e">
        <f>D34/Stoff!$F34</f>
        <v>#VALUE!</v>
      </c>
      <c r="I34" s="328" t="e">
        <f>E34/Stoff!$F34</f>
        <v>#VALUE!</v>
      </c>
      <c r="J34" s="328" t="e">
        <f>F34/Stoff!$F34</f>
        <v>#VALUE!</v>
      </c>
      <c r="K34" s="328" t="e">
        <f>IF(G34&lt;1,0,-LN((Stoff!$F34*('1a. Spredningsmodell input'!$C$18*'1a. Spredningsmodell input'!$C$17*'1a. Spredningsmodell input'!$C$16*1000*'1a. Spredningsmodell input'!$C$12)/1000000)/(Mellomregninger!$D34-Stoff!$P34*Mellomregninger!$D34))/(Mellomregninger!$F34+Stoff!$L34*365))</f>
        <v>#DIV/0!</v>
      </c>
    </row>
    <row r="35" spans="1:11" x14ac:dyDescent="0.35">
      <c r="A35" s="239" t="s">
        <v>175</v>
      </c>
      <c r="B35" s="320" t="str">
        <f>Mellomregninger!D35</f>
        <v/>
      </c>
      <c r="C35" s="318" t="e">
        <f>'1b. Kons. umettet jord'!E35</f>
        <v>#DIV/0!</v>
      </c>
      <c r="D35" s="318" t="e">
        <f>(Mellomregninger!AU35+Mellomregninger!AV35)*1000000/('1a. Spredningsmodell input'!$C$18*'1a. Spredningsmodell input'!$C$17*'1a. Spredningsmodell input'!$C$16*1000*'1a. Spredningsmodell input'!$C$12)</f>
        <v>#VALUE!</v>
      </c>
      <c r="E35" s="318" t="e">
        <f>(Mellomregninger!BG35+Mellomregninger!BH35)*1000000/('1a. Spredningsmodell input'!$C$18*'1a. Spredningsmodell input'!$C$17*'1a. Spredningsmodell input'!$C$16*1000*'1a. Spredningsmodell input'!$C$12)</f>
        <v>#VALUE!</v>
      </c>
      <c r="F35" s="318" t="e">
        <f>(Mellomregninger!BS35+Mellomregninger!BT35)*1000000/('1a. Spredningsmodell input'!$C$18*'1a. Spredningsmodell input'!$C$17*'1a. Spredningsmodell input'!$C$16*1000*'1a. Spredningsmodell input'!$C$12)</f>
        <v>#VALUE!</v>
      </c>
      <c r="G35" s="328" t="e">
        <f>C35/Stoff!$F35</f>
        <v>#DIV/0!</v>
      </c>
      <c r="H35" s="328" t="e">
        <f>D35/Stoff!$F35</f>
        <v>#VALUE!</v>
      </c>
      <c r="I35" s="328" t="e">
        <f>E35/Stoff!$F35</f>
        <v>#VALUE!</v>
      </c>
      <c r="J35" s="328" t="e">
        <f>F35/Stoff!$F35</f>
        <v>#VALUE!</v>
      </c>
      <c r="K35" s="328" t="e">
        <f>IF(G35&lt;1,0,-LN((Stoff!$F35*('1a. Spredningsmodell input'!$C$18*'1a. Spredningsmodell input'!$C$17*'1a. Spredningsmodell input'!$C$16*1000*'1a. Spredningsmodell input'!$C$12)/1000000)/(Mellomregninger!$D35-Stoff!$P35*Mellomregninger!$D35))/(Mellomregninger!$F35+Stoff!$L35*365))</f>
        <v>#DIV/0!</v>
      </c>
    </row>
    <row r="36" spans="1:11" x14ac:dyDescent="0.35">
      <c r="A36" s="239" t="s">
        <v>174</v>
      </c>
      <c r="B36" s="320" t="str">
        <f>Mellomregninger!D36</f>
        <v/>
      </c>
      <c r="C36" s="318" t="e">
        <f>'1b. Kons. umettet jord'!E36</f>
        <v>#DIV/0!</v>
      </c>
      <c r="D36" s="318" t="e">
        <f>(Mellomregninger!AU36+Mellomregninger!AV36)*1000000/('1a. Spredningsmodell input'!$C$18*'1a. Spredningsmodell input'!$C$17*'1a. Spredningsmodell input'!$C$16*1000*'1a. Spredningsmodell input'!$C$12)</f>
        <v>#VALUE!</v>
      </c>
      <c r="E36" s="318" t="e">
        <f>(Mellomregninger!BG36+Mellomregninger!BH36)*1000000/('1a. Spredningsmodell input'!$C$18*'1a. Spredningsmodell input'!$C$17*'1a. Spredningsmodell input'!$C$16*1000*'1a. Spredningsmodell input'!$C$12)</f>
        <v>#VALUE!</v>
      </c>
      <c r="F36" s="318" t="e">
        <f>(Mellomregninger!BS36+Mellomregninger!BT36)*1000000/('1a. Spredningsmodell input'!$C$18*'1a. Spredningsmodell input'!$C$17*'1a. Spredningsmodell input'!$C$16*1000*'1a. Spredningsmodell input'!$C$12)</f>
        <v>#VALUE!</v>
      </c>
      <c r="G36" s="328" t="e">
        <f>C36/Stoff!$F36</f>
        <v>#DIV/0!</v>
      </c>
      <c r="H36" s="328" t="e">
        <f>D36/Stoff!$F36</f>
        <v>#VALUE!</v>
      </c>
      <c r="I36" s="328" t="e">
        <f>E36/Stoff!$F36</f>
        <v>#VALUE!</v>
      </c>
      <c r="J36" s="328" t="e">
        <f>F36/Stoff!$F36</f>
        <v>#VALUE!</v>
      </c>
      <c r="K36" s="328" t="e">
        <f>IF(G36&lt;1,0,-LN((Stoff!$F36*('1a. Spredningsmodell input'!$C$18*'1a. Spredningsmodell input'!$C$17*'1a. Spredningsmodell input'!$C$16*1000*'1a. Spredningsmodell input'!$C$12)/1000000)/(Mellomregninger!$D36-Stoff!$P36*Mellomregninger!$D36))/(Mellomregninger!$F36+Stoff!$L36*365))</f>
        <v>#DIV/0!</v>
      </c>
    </row>
    <row r="37" spans="1:11" x14ac:dyDescent="0.35">
      <c r="A37" s="239" t="s">
        <v>173</v>
      </c>
      <c r="B37" s="320" t="str">
        <f>Mellomregninger!D37</f>
        <v/>
      </c>
      <c r="C37" s="318" t="e">
        <f>'1b. Kons. umettet jord'!E37</f>
        <v>#DIV/0!</v>
      </c>
      <c r="D37" s="318" t="e">
        <f>(Mellomregninger!AU37+Mellomregninger!AV37)*1000000/('1a. Spredningsmodell input'!$C$18*'1a. Spredningsmodell input'!$C$17*'1a. Spredningsmodell input'!$C$16*1000*'1a. Spredningsmodell input'!$C$12)</f>
        <v>#VALUE!</v>
      </c>
      <c r="E37" s="318" t="e">
        <f>(Mellomregninger!BG37+Mellomregninger!BH37)*1000000/('1a. Spredningsmodell input'!$C$18*'1a. Spredningsmodell input'!$C$17*'1a. Spredningsmodell input'!$C$16*1000*'1a. Spredningsmodell input'!$C$12)</f>
        <v>#VALUE!</v>
      </c>
      <c r="F37" s="318" t="e">
        <f>(Mellomregninger!BS37+Mellomregninger!BT37)*1000000/('1a. Spredningsmodell input'!$C$18*'1a. Spredningsmodell input'!$C$17*'1a. Spredningsmodell input'!$C$16*1000*'1a. Spredningsmodell input'!$C$12)</f>
        <v>#VALUE!</v>
      </c>
      <c r="G37" s="328" t="e">
        <f>C37/Stoff!$F37</f>
        <v>#DIV/0!</v>
      </c>
      <c r="H37" s="328" t="e">
        <f>D37/Stoff!$F37</f>
        <v>#VALUE!</v>
      </c>
      <c r="I37" s="328" t="e">
        <f>E37/Stoff!$F37</f>
        <v>#VALUE!</v>
      </c>
      <c r="J37" s="328" t="e">
        <f>F37/Stoff!$F37</f>
        <v>#VALUE!</v>
      </c>
      <c r="K37" s="328" t="e">
        <f>IF(G37&lt;1,0,-LN((Stoff!$F37*('1a. Spredningsmodell input'!$C$18*'1a. Spredningsmodell input'!$C$17*'1a. Spredningsmodell input'!$C$16*1000*'1a. Spredningsmodell input'!$C$12)/1000000)/(Mellomregninger!$D37-Stoff!$P37*Mellomregninger!$D37))/(Mellomregninger!$F37+Stoff!$L37*365))</f>
        <v>#DIV/0!</v>
      </c>
    </row>
    <row r="38" spans="1:11" x14ac:dyDescent="0.35">
      <c r="A38" s="239" t="s">
        <v>172</v>
      </c>
      <c r="B38" s="320" t="str">
        <f>Mellomregninger!D38</f>
        <v/>
      </c>
      <c r="C38" s="318" t="e">
        <f>'1b. Kons. umettet jord'!E38</f>
        <v>#DIV/0!</v>
      </c>
      <c r="D38" s="318" t="e">
        <f>(Mellomregninger!AU38+Mellomregninger!AV38)*1000000/('1a. Spredningsmodell input'!$C$18*'1a. Spredningsmodell input'!$C$17*'1a. Spredningsmodell input'!$C$16*1000*'1a. Spredningsmodell input'!$C$12)</f>
        <v>#VALUE!</v>
      </c>
      <c r="E38" s="318" t="e">
        <f>(Mellomregninger!BG38+Mellomregninger!BH38)*1000000/('1a. Spredningsmodell input'!$C$18*'1a. Spredningsmodell input'!$C$17*'1a. Spredningsmodell input'!$C$16*1000*'1a. Spredningsmodell input'!$C$12)</f>
        <v>#VALUE!</v>
      </c>
      <c r="F38" s="318" t="e">
        <f>(Mellomregninger!BS38+Mellomregninger!BT38)*1000000/('1a. Spredningsmodell input'!$C$18*'1a. Spredningsmodell input'!$C$17*'1a. Spredningsmodell input'!$C$16*1000*'1a. Spredningsmodell input'!$C$12)</f>
        <v>#VALUE!</v>
      </c>
      <c r="G38" s="328" t="e">
        <f>C38/Stoff!$F38</f>
        <v>#DIV/0!</v>
      </c>
      <c r="H38" s="328" t="e">
        <f>D38/Stoff!$F38</f>
        <v>#VALUE!</v>
      </c>
      <c r="I38" s="328" t="e">
        <f>E38/Stoff!$F38</f>
        <v>#VALUE!</v>
      </c>
      <c r="J38" s="328" t="e">
        <f>F38/Stoff!$F38</f>
        <v>#VALUE!</v>
      </c>
      <c r="K38" s="328" t="e">
        <f>IF(G38&lt;1,0,-LN((Stoff!$F38*('1a. Spredningsmodell input'!$C$18*'1a. Spredningsmodell input'!$C$17*'1a. Spredningsmodell input'!$C$16*1000*'1a. Spredningsmodell input'!$C$12)/1000000)/(Mellomregninger!$D38-Stoff!$P38*Mellomregninger!$D38))/(Mellomregninger!$F38+Stoff!$L38*365))</f>
        <v>#DIV/0!</v>
      </c>
    </row>
    <row r="39" spans="1:11" x14ac:dyDescent="0.35">
      <c r="A39" s="242" t="s">
        <v>171</v>
      </c>
      <c r="B39" s="320" t="str">
        <f>Mellomregninger!D39</f>
        <v/>
      </c>
      <c r="C39" s="318" t="e">
        <f>'1b. Kons. umettet jord'!E39</f>
        <v>#DIV/0!</v>
      </c>
      <c r="D39" s="318" t="e">
        <f>(Mellomregninger!AU39+Mellomregninger!AV39)*1000000/('1a. Spredningsmodell input'!$C$18*'1a. Spredningsmodell input'!$C$17*'1a. Spredningsmodell input'!$C$16*1000*'1a. Spredningsmodell input'!$C$12)</f>
        <v>#VALUE!</v>
      </c>
      <c r="E39" s="318" t="e">
        <f>(Mellomregninger!BG39+Mellomregninger!BH39)*1000000/('1a. Spredningsmodell input'!$C$18*'1a. Spredningsmodell input'!$C$17*'1a. Spredningsmodell input'!$C$16*1000*'1a. Spredningsmodell input'!$C$12)</f>
        <v>#VALUE!</v>
      </c>
      <c r="F39" s="318" t="e">
        <f>(Mellomregninger!BS39+Mellomregninger!BT39)*1000000/('1a. Spredningsmodell input'!$C$18*'1a. Spredningsmodell input'!$C$17*'1a. Spredningsmodell input'!$C$16*1000*'1a. Spredningsmodell input'!$C$12)</f>
        <v>#VALUE!</v>
      </c>
      <c r="G39" s="328" t="e">
        <f>C39/Stoff!$F39</f>
        <v>#DIV/0!</v>
      </c>
      <c r="H39" s="328" t="e">
        <f>D39/Stoff!$F39</f>
        <v>#VALUE!</v>
      </c>
      <c r="I39" s="328" t="e">
        <f>E39/Stoff!$F39</f>
        <v>#VALUE!</v>
      </c>
      <c r="J39" s="328" t="e">
        <f>F39/Stoff!$F39</f>
        <v>#VALUE!</v>
      </c>
      <c r="K39" s="328" t="e">
        <f>IF(G39&lt;1,0,-LN((Stoff!$F39*('1a. Spredningsmodell input'!$C$18*'1a. Spredningsmodell input'!$C$17*'1a. Spredningsmodell input'!$C$16*1000*'1a. Spredningsmodell input'!$C$12)/1000000)/(Mellomregninger!$D39-Stoff!$P39*Mellomregninger!$D39))/(Mellomregninger!$F39+Stoff!$L39*365))</f>
        <v>#DIV/0!</v>
      </c>
    </row>
    <row r="40" spans="1:11" x14ac:dyDescent="0.35">
      <c r="A40" s="242" t="s">
        <v>170</v>
      </c>
      <c r="B40" s="320" t="str">
        <f>Mellomregninger!D40</f>
        <v/>
      </c>
      <c r="C40" s="318" t="e">
        <f>'1b. Kons. umettet jord'!E40</f>
        <v>#DIV/0!</v>
      </c>
      <c r="D40" s="318" t="e">
        <f>(Mellomregninger!AU40+Mellomregninger!AV40)*1000000/('1a. Spredningsmodell input'!$C$18*'1a. Spredningsmodell input'!$C$17*'1a. Spredningsmodell input'!$C$16*1000*'1a. Spredningsmodell input'!$C$12)</f>
        <v>#VALUE!</v>
      </c>
      <c r="E40" s="318" t="e">
        <f>(Mellomregninger!BG40+Mellomregninger!BH40)*1000000/('1a. Spredningsmodell input'!$C$18*'1a. Spredningsmodell input'!$C$17*'1a. Spredningsmodell input'!$C$16*1000*'1a. Spredningsmodell input'!$C$12)</f>
        <v>#VALUE!</v>
      </c>
      <c r="F40" s="318" t="e">
        <f>(Mellomregninger!BS40+Mellomregninger!BT40)*1000000/('1a. Spredningsmodell input'!$C$18*'1a. Spredningsmodell input'!$C$17*'1a. Spredningsmodell input'!$C$16*1000*'1a. Spredningsmodell input'!$C$12)</f>
        <v>#VALUE!</v>
      </c>
      <c r="G40" s="328" t="e">
        <f>C40/Stoff!$F40</f>
        <v>#DIV/0!</v>
      </c>
      <c r="H40" s="328" t="e">
        <f>D40/Stoff!$F40</f>
        <v>#VALUE!</v>
      </c>
      <c r="I40" s="328" t="e">
        <f>E40/Stoff!$F40</f>
        <v>#VALUE!</v>
      </c>
      <c r="J40" s="328" t="e">
        <f>F40/Stoff!$F40</f>
        <v>#VALUE!</v>
      </c>
      <c r="K40" s="328" t="e">
        <f>IF(G40&lt;1,0,-LN((Stoff!$F40*('1a. Spredningsmodell input'!$C$18*'1a. Spredningsmodell input'!$C$17*'1a. Spredningsmodell input'!$C$16*1000*'1a. Spredningsmodell input'!$C$12)/1000000)/(Mellomregninger!$D40-Stoff!$P40*Mellomregninger!$D40))/(Mellomregninger!$F40+Stoff!$L40*365))</f>
        <v>#DIV/0!</v>
      </c>
    </row>
    <row r="41" spans="1:11" x14ac:dyDescent="0.35">
      <c r="A41" s="239" t="s">
        <v>169</v>
      </c>
      <c r="B41" s="320" t="str">
        <f>Mellomregninger!D41</f>
        <v/>
      </c>
      <c r="C41" s="318" t="e">
        <f>'1b. Kons. umettet jord'!E41</f>
        <v>#DIV/0!</v>
      </c>
      <c r="D41" s="318" t="e">
        <f>(Mellomregninger!AU41+Mellomregninger!AV41)*1000000/('1a. Spredningsmodell input'!$C$18*'1a. Spredningsmodell input'!$C$17*'1a. Spredningsmodell input'!$C$16*1000*'1a. Spredningsmodell input'!$C$12)</f>
        <v>#VALUE!</v>
      </c>
      <c r="E41" s="318" t="e">
        <f>(Mellomregninger!BG41+Mellomregninger!BH41)*1000000/('1a. Spredningsmodell input'!$C$18*'1a. Spredningsmodell input'!$C$17*'1a. Spredningsmodell input'!$C$16*1000*'1a. Spredningsmodell input'!$C$12)</f>
        <v>#VALUE!</v>
      </c>
      <c r="F41" s="318" t="e">
        <f>(Mellomregninger!BS41+Mellomregninger!BT41)*1000000/('1a. Spredningsmodell input'!$C$18*'1a. Spredningsmodell input'!$C$17*'1a. Spredningsmodell input'!$C$16*1000*'1a. Spredningsmodell input'!$C$12)</f>
        <v>#VALUE!</v>
      </c>
      <c r="G41" s="328" t="e">
        <f>C41/Stoff!$F41</f>
        <v>#DIV/0!</v>
      </c>
      <c r="H41" s="328" t="e">
        <f>D41/Stoff!$F41</f>
        <v>#VALUE!</v>
      </c>
      <c r="I41" s="328" t="e">
        <f>E41/Stoff!$F41</f>
        <v>#VALUE!</v>
      </c>
      <c r="J41" s="328" t="e">
        <f>F41/Stoff!$F41</f>
        <v>#VALUE!</v>
      </c>
      <c r="K41" s="328" t="e">
        <f>IF(G41&lt;1,0,-LN((Stoff!$F41*('1a. Spredningsmodell input'!$C$18*'1a. Spredningsmodell input'!$C$17*'1a. Spredningsmodell input'!$C$16*1000*'1a. Spredningsmodell input'!$C$12)/1000000)/(Mellomregninger!$D41-Stoff!$P41*Mellomregninger!$D41))/(Mellomregninger!$F41+Stoff!$L41*365))</f>
        <v>#DIV/0!</v>
      </c>
    </row>
    <row r="42" spans="1:11" x14ac:dyDescent="0.35">
      <c r="A42" s="239" t="s">
        <v>168</v>
      </c>
      <c r="B42" s="320" t="str">
        <f>Mellomregninger!D42</f>
        <v/>
      </c>
      <c r="C42" s="318" t="e">
        <f>'1b. Kons. umettet jord'!E42</f>
        <v>#DIV/0!</v>
      </c>
      <c r="D42" s="318" t="e">
        <f>(Mellomregninger!AU42+Mellomregninger!AV42)*1000000/('1a. Spredningsmodell input'!$C$18*'1a. Spredningsmodell input'!$C$17*'1a. Spredningsmodell input'!$C$16*1000*'1a. Spredningsmodell input'!$C$12)</f>
        <v>#VALUE!</v>
      </c>
      <c r="E42" s="318" t="e">
        <f>(Mellomregninger!BG42+Mellomregninger!BH42)*1000000/('1a. Spredningsmodell input'!$C$18*'1a. Spredningsmodell input'!$C$17*'1a. Spredningsmodell input'!$C$16*1000*'1a. Spredningsmodell input'!$C$12)</f>
        <v>#VALUE!</v>
      </c>
      <c r="F42" s="318" t="e">
        <f>(Mellomregninger!BS42+Mellomregninger!BT42)*1000000/('1a. Spredningsmodell input'!$C$18*'1a. Spredningsmodell input'!$C$17*'1a. Spredningsmodell input'!$C$16*1000*'1a. Spredningsmodell input'!$C$12)</f>
        <v>#VALUE!</v>
      </c>
      <c r="G42" s="328" t="e">
        <f>C42/Stoff!$F42</f>
        <v>#DIV/0!</v>
      </c>
      <c r="H42" s="328" t="e">
        <f>D42/Stoff!$F42</f>
        <v>#VALUE!</v>
      </c>
      <c r="I42" s="328" t="e">
        <f>E42/Stoff!$F42</f>
        <v>#VALUE!</v>
      </c>
      <c r="J42" s="328" t="e">
        <f>F42/Stoff!$F42</f>
        <v>#VALUE!</v>
      </c>
      <c r="K42" s="328" t="e">
        <f>IF(G42&lt;1,0,-LN((Stoff!$F42*('1a. Spredningsmodell input'!$C$18*'1a. Spredningsmodell input'!$C$17*'1a. Spredningsmodell input'!$C$16*1000*'1a. Spredningsmodell input'!$C$12)/1000000)/(Mellomregninger!$D42-Stoff!$P42*Mellomregninger!$D42))/(Mellomregninger!$F42+Stoff!$L42*365))</f>
        <v>#DIV/0!</v>
      </c>
    </row>
    <row r="43" spans="1:11" x14ac:dyDescent="0.35">
      <c r="A43" s="239" t="s">
        <v>167</v>
      </c>
      <c r="B43" s="320" t="str">
        <f>Mellomregninger!D43</f>
        <v/>
      </c>
      <c r="C43" s="318" t="e">
        <f>'1b. Kons. umettet jord'!E43</f>
        <v>#DIV/0!</v>
      </c>
      <c r="D43" s="318" t="e">
        <f>(Mellomregninger!AU43+Mellomregninger!AV43)*1000000/('1a. Spredningsmodell input'!$C$18*'1a. Spredningsmodell input'!$C$17*'1a. Spredningsmodell input'!$C$16*1000*'1a. Spredningsmodell input'!$C$12)</f>
        <v>#VALUE!</v>
      </c>
      <c r="E43" s="318" t="e">
        <f>(Mellomregninger!BG43+Mellomregninger!BH43)*1000000/('1a. Spredningsmodell input'!$C$18*'1a. Spredningsmodell input'!$C$17*'1a. Spredningsmodell input'!$C$16*1000*'1a. Spredningsmodell input'!$C$12)</f>
        <v>#VALUE!</v>
      </c>
      <c r="F43" s="318" t="e">
        <f>(Mellomregninger!BS43+Mellomregninger!BT43)*1000000/('1a. Spredningsmodell input'!$C$18*'1a. Spredningsmodell input'!$C$17*'1a. Spredningsmodell input'!$C$16*1000*'1a. Spredningsmodell input'!$C$12)</f>
        <v>#VALUE!</v>
      </c>
      <c r="G43" s="328" t="e">
        <f>C43/Stoff!$F43</f>
        <v>#DIV/0!</v>
      </c>
      <c r="H43" s="328" t="e">
        <f>D43/Stoff!$F43</f>
        <v>#VALUE!</v>
      </c>
      <c r="I43" s="328" t="e">
        <f>E43/Stoff!$F43</f>
        <v>#VALUE!</v>
      </c>
      <c r="J43" s="328" t="e">
        <f>F43/Stoff!$F43</f>
        <v>#VALUE!</v>
      </c>
      <c r="K43" s="328" t="e">
        <f>IF(G43&lt;1,0,-LN((Stoff!$F43*('1a. Spredningsmodell input'!$C$18*'1a. Spredningsmodell input'!$C$17*'1a. Spredningsmodell input'!$C$16*1000*'1a. Spredningsmodell input'!$C$12)/1000000)/(Mellomregninger!$D43-Stoff!$P43*Mellomregninger!$D43))/(Mellomregninger!$F43+Stoff!$L43*365))</f>
        <v>#DIV/0!</v>
      </c>
    </row>
    <row r="44" spans="1:11" x14ac:dyDescent="0.35">
      <c r="A44" s="239" t="s">
        <v>166</v>
      </c>
      <c r="B44" s="320" t="str">
        <f>Mellomregninger!D44</f>
        <v/>
      </c>
      <c r="C44" s="318" t="e">
        <f>'1b. Kons. umettet jord'!E44</f>
        <v>#DIV/0!</v>
      </c>
      <c r="D44" s="318" t="e">
        <f>(Mellomregninger!AU44+Mellomregninger!AV44)*1000000/('1a. Spredningsmodell input'!$C$18*'1a. Spredningsmodell input'!$C$17*'1a. Spredningsmodell input'!$C$16*1000*'1a. Spredningsmodell input'!$C$12)</f>
        <v>#VALUE!</v>
      </c>
      <c r="E44" s="318" t="e">
        <f>(Mellomregninger!BG44+Mellomregninger!BH44)*1000000/('1a. Spredningsmodell input'!$C$18*'1a. Spredningsmodell input'!$C$17*'1a. Spredningsmodell input'!$C$16*1000*'1a. Spredningsmodell input'!$C$12)</f>
        <v>#VALUE!</v>
      </c>
      <c r="F44" s="318" t="e">
        <f>(Mellomregninger!BS44+Mellomregninger!BT44)*1000000/('1a. Spredningsmodell input'!$C$18*'1a. Spredningsmodell input'!$C$17*'1a. Spredningsmodell input'!$C$16*1000*'1a. Spredningsmodell input'!$C$12)</f>
        <v>#VALUE!</v>
      </c>
      <c r="G44" s="328" t="e">
        <f>C44/Stoff!$F44</f>
        <v>#DIV/0!</v>
      </c>
      <c r="H44" s="328" t="e">
        <f>D44/Stoff!$F44</f>
        <v>#VALUE!</v>
      </c>
      <c r="I44" s="328" t="e">
        <f>E44/Stoff!$F44</f>
        <v>#VALUE!</v>
      </c>
      <c r="J44" s="328" t="e">
        <f>F44/Stoff!$F44</f>
        <v>#VALUE!</v>
      </c>
      <c r="K44" s="328" t="e">
        <f>IF(G44&lt;1,0,-LN((Stoff!$F44*('1a. Spredningsmodell input'!$C$18*'1a. Spredningsmodell input'!$C$17*'1a. Spredningsmodell input'!$C$16*1000*'1a. Spredningsmodell input'!$C$12)/1000000)/(Mellomregninger!$D44-Stoff!$P44*Mellomregninger!$D44))/(Mellomregninger!$F44+Stoff!$L44*365))</f>
        <v>#DIV/0!</v>
      </c>
    </row>
    <row r="45" spans="1:11" x14ac:dyDescent="0.35">
      <c r="A45" s="239" t="s">
        <v>165</v>
      </c>
      <c r="B45" s="320" t="str">
        <f>Mellomregninger!D45</f>
        <v/>
      </c>
      <c r="C45" s="318" t="e">
        <f>'1b. Kons. umettet jord'!E45</f>
        <v>#DIV/0!</v>
      </c>
      <c r="D45" s="318" t="e">
        <f>(Mellomregninger!AU45+Mellomregninger!AV45)*1000000/('1a. Spredningsmodell input'!$C$18*'1a. Spredningsmodell input'!$C$17*'1a. Spredningsmodell input'!$C$16*1000*'1a. Spredningsmodell input'!$C$12)</f>
        <v>#VALUE!</v>
      </c>
      <c r="E45" s="318" t="e">
        <f>(Mellomregninger!BG45+Mellomregninger!BH45)*1000000/('1a. Spredningsmodell input'!$C$18*'1a. Spredningsmodell input'!$C$17*'1a. Spredningsmodell input'!$C$16*1000*'1a. Spredningsmodell input'!$C$12)</f>
        <v>#VALUE!</v>
      </c>
      <c r="F45" s="318" t="e">
        <f>(Mellomregninger!BS45+Mellomregninger!BT45)*1000000/('1a. Spredningsmodell input'!$C$18*'1a. Spredningsmodell input'!$C$17*'1a. Spredningsmodell input'!$C$16*1000*'1a. Spredningsmodell input'!$C$12)</f>
        <v>#VALUE!</v>
      </c>
      <c r="G45" s="328" t="e">
        <f>C45/Stoff!$F45</f>
        <v>#DIV/0!</v>
      </c>
      <c r="H45" s="328" t="e">
        <f>D45/Stoff!$F45</f>
        <v>#VALUE!</v>
      </c>
      <c r="I45" s="328" t="e">
        <f>E45/Stoff!$F45</f>
        <v>#VALUE!</v>
      </c>
      <c r="J45" s="328" t="e">
        <f>F45/Stoff!$F45</f>
        <v>#VALUE!</v>
      </c>
      <c r="K45" s="328" t="e">
        <f>IF(G45&lt;1,0,-LN((Stoff!$F45*('1a. Spredningsmodell input'!$C$18*'1a. Spredningsmodell input'!$C$17*'1a. Spredningsmodell input'!$C$16*1000*'1a. Spredningsmodell input'!$C$12)/1000000)/(Mellomregninger!$D45-Stoff!$P45*Mellomregninger!$D45))/(Mellomregninger!$F45+Stoff!$L45*365))</f>
        <v>#DIV/0!</v>
      </c>
    </row>
    <row r="46" spans="1:11" x14ac:dyDescent="0.35">
      <c r="A46" s="239" t="s">
        <v>164</v>
      </c>
      <c r="B46" s="320" t="str">
        <f>Mellomregninger!D46</f>
        <v/>
      </c>
      <c r="C46" s="318" t="e">
        <f>'1b. Kons. umettet jord'!E46</f>
        <v>#DIV/0!</v>
      </c>
      <c r="D46" s="318" t="e">
        <f>(Mellomregninger!AU46+Mellomregninger!AV46)*1000000/('1a. Spredningsmodell input'!$C$18*'1a. Spredningsmodell input'!$C$17*'1a. Spredningsmodell input'!$C$16*1000*'1a. Spredningsmodell input'!$C$12)</f>
        <v>#VALUE!</v>
      </c>
      <c r="E46" s="318" t="e">
        <f>(Mellomregninger!BG46+Mellomregninger!BH46)*1000000/('1a. Spredningsmodell input'!$C$18*'1a. Spredningsmodell input'!$C$17*'1a. Spredningsmodell input'!$C$16*1000*'1a. Spredningsmodell input'!$C$12)</f>
        <v>#VALUE!</v>
      </c>
      <c r="F46" s="318" t="e">
        <f>(Mellomregninger!BS46+Mellomregninger!BT46)*1000000/('1a. Spredningsmodell input'!$C$18*'1a. Spredningsmodell input'!$C$17*'1a. Spredningsmodell input'!$C$16*1000*'1a. Spredningsmodell input'!$C$12)</f>
        <v>#VALUE!</v>
      </c>
      <c r="G46" s="328" t="e">
        <f>C46/Stoff!$F46</f>
        <v>#DIV/0!</v>
      </c>
      <c r="H46" s="328" t="e">
        <f>D46/Stoff!$F46</f>
        <v>#VALUE!</v>
      </c>
      <c r="I46" s="328" t="e">
        <f>E46/Stoff!$F46</f>
        <v>#VALUE!</v>
      </c>
      <c r="J46" s="328" t="e">
        <f>F46/Stoff!$F46</f>
        <v>#VALUE!</v>
      </c>
      <c r="K46" s="328" t="e">
        <f>IF(G46&lt;1,0,-LN((Stoff!$F46*('1a. Spredningsmodell input'!$C$18*'1a. Spredningsmodell input'!$C$17*'1a. Spredningsmodell input'!$C$16*1000*'1a. Spredningsmodell input'!$C$12)/1000000)/(Mellomregninger!$D46-Stoff!$P46*Mellomregninger!$D46))/(Mellomregninger!$F46+Stoff!$L46*365))</f>
        <v>#DIV/0!</v>
      </c>
    </row>
    <row r="47" spans="1:11" x14ac:dyDescent="0.35">
      <c r="A47" s="239" t="s">
        <v>163</v>
      </c>
      <c r="B47" s="320" t="str">
        <f>Mellomregninger!D47</f>
        <v/>
      </c>
      <c r="C47" s="318" t="e">
        <f>'1b. Kons. umettet jord'!E47</f>
        <v>#DIV/0!</v>
      </c>
      <c r="D47" s="318" t="e">
        <f>(Mellomregninger!AU47+Mellomregninger!AV47)*1000000/('1a. Spredningsmodell input'!$C$18*'1a. Spredningsmodell input'!$C$17*'1a. Spredningsmodell input'!$C$16*1000*'1a. Spredningsmodell input'!$C$12)</f>
        <v>#VALUE!</v>
      </c>
      <c r="E47" s="318" t="e">
        <f>(Mellomregninger!BG47+Mellomregninger!BH47)*1000000/('1a. Spredningsmodell input'!$C$18*'1a. Spredningsmodell input'!$C$17*'1a. Spredningsmodell input'!$C$16*1000*'1a. Spredningsmodell input'!$C$12)</f>
        <v>#VALUE!</v>
      </c>
      <c r="F47" s="318" t="e">
        <f>(Mellomregninger!BS47+Mellomregninger!BT47)*1000000/('1a. Spredningsmodell input'!$C$18*'1a. Spredningsmodell input'!$C$17*'1a. Spredningsmodell input'!$C$16*1000*'1a. Spredningsmodell input'!$C$12)</f>
        <v>#VALUE!</v>
      </c>
      <c r="G47" s="328" t="e">
        <f>C47/Stoff!$F47</f>
        <v>#DIV/0!</v>
      </c>
      <c r="H47" s="328" t="e">
        <f>D47/Stoff!$F47</f>
        <v>#VALUE!</v>
      </c>
      <c r="I47" s="328" t="e">
        <f>E47/Stoff!$F47</f>
        <v>#VALUE!</v>
      </c>
      <c r="J47" s="328" t="e">
        <f>F47/Stoff!$F47</f>
        <v>#VALUE!</v>
      </c>
      <c r="K47" s="328" t="e">
        <f>IF(G47&lt;1,0,-LN((Stoff!$F47*('1a. Spredningsmodell input'!$C$18*'1a. Spredningsmodell input'!$C$17*'1a. Spredningsmodell input'!$C$16*1000*'1a. Spredningsmodell input'!$C$12)/1000000)/(Mellomregninger!$D47-Stoff!$P47*Mellomregninger!$D47))/(Mellomregninger!$F47+Stoff!$L47*365))</f>
        <v>#DIV/0!</v>
      </c>
    </row>
    <row r="48" spans="1:11" x14ac:dyDescent="0.35">
      <c r="A48" s="239" t="s">
        <v>162</v>
      </c>
      <c r="B48" s="320" t="str">
        <f>Mellomregninger!D48</f>
        <v/>
      </c>
      <c r="C48" s="318" t="e">
        <f>'1b. Kons. umettet jord'!E48</f>
        <v>#DIV/0!</v>
      </c>
      <c r="D48" s="318" t="e">
        <f>(Mellomregninger!AU48+Mellomregninger!AV48)*1000000/('1a. Spredningsmodell input'!$C$18*'1a. Spredningsmodell input'!$C$17*'1a. Spredningsmodell input'!$C$16*1000*'1a. Spredningsmodell input'!$C$12)</f>
        <v>#VALUE!</v>
      </c>
      <c r="E48" s="318" t="e">
        <f>(Mellomregninger!BG48+Mellomregninger!BH48)*1000000/('1a. Spredningsmodell input'!$C$18*'1a. Spredningsmodell input'!$C$17*'1a. Spredningsmodell input'!$C$16*1000*'1a. Spredningsmodell input'!$C$12)</f>
        <v>#VALUE!</v>
      </c>
      <c r="F48" s="318" t="e">
        <f>(Mellomregninger!BS48+Mellomregninger!BT48)*1000000/('1a. Spredningsmodell input'!$C$18*'1a. Spredningsmodell input'!$C$17*'1a. Spredningsmodell input'!$C$16*1000*'1a. Spredningsmodell input'!$C$12)</f>
        <v>#VALUE!</v>
      </c>
      <c r="G48" s="328" t="e">
        <f>C48/Stoff!$F48</f>
        <v>#DIV/0!</v>
      </c>
      <c r="H48" s="328" t="e">
        <f>D48/Stoff!$F48</f>
        <v>#VALUE!</v>
      </c>
      <c r="I48" s="328" t="e">
        <f>E48/Stoff!$F48</f>
        <v>#VALUE!</v>
      </c>
      <c r="J48" s="328" t="e">
        <f>F48/Stoff!$F48</f>
        <v>#VALUE!</v>
      </c>
      <c r="K48" s="328" t="e">
        <f>IF(G48&lt;1,0,-LN((Stoff!$F48*('1a. Spredningsmodell input'!$C$18*'1a. Spredningsmodell input'!$C$17*'1a. Spredningsmodell input'!$C$16*1000*'1a. Spredningsmodell input'!$C$12)/1000000)/(Mellomregninger!$D48-Stoff!$P48*Mellomregninger!$D48))/(Mellomregninger!$F48+Stoff!$L48*365))</f>
        <v>#DIV/0!</v>
      </c>
    </row>
    <row r="49" spans="1:11" x14ac:dyDescent="0.35">
      <c r="A49" s="239" t="s">
        <v>161</v>
      </c>
      <c r="B49" s="320" t="str">
        <f>Mellomregninger!D49</f>
        <v/>
      </c>
      <c r="C49" s="318" t="e">
        <f>'1b. Kons. umettet jord'!E49</f>
        <v>#DIV/0!</v>
      </c>
      <c r="D49" s="318" t="e">
        <f>(Mellomregninger!AU49+Mellomregninger!AV49)*1000000/('1a. Spredningsmodell input'!$C$18*'1a. Spredningsmodell input'!$C$17*'1a. Spredningsmodell input'!$C$16*1000*'1a. Spredningsmodell input'!$C$12)</f>
        <v>#VALUE!</v>
      </c>
      <c r="E49" s="318" t="e">
        <f>(Mellomregninger!BG49+Mellomregninger!BH49)*1000000/('1a. Spredningsmodell input'!$C$18*'1a. Spredningsmodell input'!$C$17*'1a. Spredningsmodell input'!$C$16*1000*'1a. Spredningsmodell input'!$C$12)</f>
        <v>#VALUE!</v>
      </c>
      <c r="F49" s="318" t="e">
        <f>(Mellomregninger!BS49+Mellomregninger!BT49)*1000000/('1a. Spredningsmodell input'!$C$18*'1a. Spredningsmodell input'!$C$17*'1a. Spredningsmodell input'!$C$16*1000*'1a. Spredningsmodell input'!$C$12)</f>
        <v>#VALUE!</v>
      </c>
      <c r="G49" s="328" t="e">
        <f>C49/Stoff!$F49</f>
        <v>#DIV/0!</v>
      </c>
      <c r="H49" s="328" t="e">
        <f>D49/Stoff!$F49</f>
        <v>#VALUE!</v>
      </c>
      <c r="I49" s="328" t="e">
        <f>E49/Stoff!$F49</f>
        <v>#VALUE!</v>
      </c>
      <c r="J49" s="328" t="e">
        <f>F49/Stoff!$F49</f>
        <v>#VALUE!</v>
      </c>
      <c r="K49" s="328" t="e">
        <f>IF(G49&lt;1,0,-LN((Stoff!$F49*('1a. Spredningsmodell input'!$C$18*'1a. Spredningsmodell input'!$C$17*'1a. Spredningsmodell input'!$C$16*1000*'1a. Spredningsmodell input'!$C$12)/1000000)/(Mellomregninger!$D49-Stoff!$P49*Mellomregninger!$D49))/(Mellomregninger!$F49+Stoff!$L49*365))</f>
        <v>#DIV/0!</v>
      </c>
    </row>
    <row r="50" spans="1:11" x14ac:dyDescent="0.35">
      <c r="A50" s="239" t="s">
        <v>160</v>
      </c>
      <c r="B50" s="320" t="str">
        <f>Mellomregninger!D50</f>
        <v/>
      </c>
      <c r="C50" s="318" t="e">
        <f>'1b. Kons. umettet jord'!E50</f>
        <v>#DIV/0!</v>
      </c>
      <c r="D50" s="318" t="e">
        <f>(Mellomregninger!AU50+Mellomregninger!AV50)*1000000/('1a. Spredningsmodell input'!$C$18*'1a. Spredningsmodell input'!$C$17*'1a. Spredningsmodell input'!$C$16*1000*'1a. Spredningsmodell input'!$C$12)</f>
        <v>#VALUE!</v>
      </c>
      <c r="E50" s="318" t="e">
        <f>(Mellomregninger!BG50+Mellomregninger!BH50)*1000000/('1a. Spredningsmodell input'!$C$18*'1a. Spredningsmodell input'!$C$17*'1a. Spredningsmodell input'!$C$16*1000*'1a. Spredningsmodell input'!$C$12)</f>
        <v>#VALUE!</v>
      </c>
      <c r="F50" s="318" t="e">
        <f>(Mellomregninger!BS50+Mellomregninger!BT50)*1000000/('1a. Spredningsmodell input'!$C$18*'1a. Spredningsmodell input'!$C$17*'1a. Spredningsmodell input'!$C$16*1000*'1a. Spredningsmodell input'!$C$12)</f>
        <v>#VALUE!</v>
      </c>
      <c r="G50" s="328" t="e">
        <f>C50/Stoff!$F50</f>
        <v>#DIV/0!</v>
      </c>
      <c r="H50" s="328" t="e">
        <f>D50/Stoff!$F50</f>
        <v>#VALUE!</v>
      </c>
      <c r="I50" s="328" t="e">
        <f>E50/Stoff!$F50</f>
        <v>#VALUE!</v>
      </c>
      <c r="J50" s="328" t="e">
        <f>F50/Stoff!$F50</f>
        <v>#VALUE!</v>
      </c>
      <c r="K50" s="328" t="e">
        <f>IF(G50&lt;1,0,-LN((Stoff!$F50*('1a. Spredningsmodell input'!$C$18*'1a. Spredningsmodell input'!$C$17*'1a. Spredningsmodell input'!$C$16*1000*'1a. Spredningsmodell input'!$C$12)/1000000)/(Mellomregninger!$D50-Stoff!$P50*Mellomregninger!$D50))/(Mellomregninger!$F50+Stoff!$L50*365))</f>
        <v>#DIV/0!</v>
      </c>
    </row>
    <row r="51" spans="1:11" x14ac:dyDescent="0.35">
      <c r="A51" s="239" t="s">
        <v>159</v>
      </c>
      <c r="B51" s="320" t="str">
        <f>Mellomregninger!D51</f>
        <v/>
      </c>
      <c r="C51" s="318" t="e">
        <f>'1b. Kons. umettet jord'!E51</f>
        <v>#DIV/0!</v>
      </c>
      <c r="D51" s="318" t="e">
        <f>(Mellomregninger!AU51+Mellomregninger!AV51)*1000000/('1a. Spredningsmodell input'!$C$18*'1a. Spredningsmodell input'!$C$17*'1a. Spredningsmodell input'!$C$16*1000*'1a. Spredningsmodell input'!$C$12)</f>
        <v>#VALUE!</v>
      </c>
      <c r="E51" s="318" t="e">
        <f>(Mellomregninger!BG51+Mellomregninger!BH51)*1000000/('1a. Spredningsmodell input'!$C$18*'1a. Spredningsmodell input'!$C$17*'1a. Spredningsmodell input'!$C$16*1000*'1a. Spredningsmodell input'!$C$12)</f>
        <v>#VALUE!</v>
      </c>
      <c r="F51" s="318" t="e">
        <f>(Mellomregninger!BS51+Mellomregninger!BT51)*1000000/('1a. Spredningsmodell input'!$C$18*'1a. Spredningsmodell input'!$C$17*'1a. Spredningsmodell input'!$C$16*1000*'1a. Spredningsmodell input'!$C$12)</f>
        <v>#VALUE!</v>
      </c>
      <c r="G51" s="328" t="e">
        <f>C51/Stoff!$F51</f>
        <v>#DIV/0!</v>
      </c>
      <c r="H51" s="328" t="e">
        <f>D51/Stoff!$F51</f>
        <v>#VALUE!</v>
      </c>
      <c r="I51" s="328" t="e">
        <f>E51/Stoff!$F51</f>
        <v>#VALUE!</v>
      </c>
      <c r="J51" s="328" t="e">
        <f>F51/Stoff!$F51</f>
        <v>#VALUE!</v>
      </c>
      <c r="K51" s="328" t="e">
        <f>IF(G51&lt;1,0,-LN((Stoff!$F51*('1a. Spredningsmodell input'!$C$18*'1a. Spredningsmodell input'!$C$17*'1a. Spredningsmodell input'!$C$16*1000*'1a. Spredningsmodell input'!$C$12)/1000000)/(Mellomregninger!$D51-Stoff!$P51*Mellomregninger!$D51))/(Mellomregninger!$F51+Stoff!$L51*365))</f>
        <v>#DIV/0!</v>
      </c>
    </row>
    <row r="52" spans="1:11" x14ac:dyDescent="0.35">
      <c r="A52" s="239" t="s">
        <v>158</v>
      </c>
      <c r="B52" s="320" t="str">
        <f>Mellomregninger!D52</f>
        <v/>
      </c>
      <c r="C52" s="318" t="e">
        <f>'1b. Kons. umettet jord'!E52</f>
        <v>#DIV/0!</v>
      </c>
      <c r="D52" s="318" t="e">
        <f>(Mellomregninger!AU52+Mellomregninger!AV52)*1000000/('1a. Spredningsmodell input'!$C$18*'1a. Spredningsmodell input'!$C$17*'1a. Spredningsmodell input'!$C$16*1000*'1a. Spredningsmodell input'!$C$12)</f>
        <v>#VALUE!</v>
      </c>
      <c r="E52" s="318" t="e">
        <f>(Mellomregninger!BG52+Mellomregninger!BH52)*1000000/('1a. Spredningsmodell input'!$C$18*'1a. Spredningsmodell input'!$C$17*'1a. Spredningsmodell input'!$C$16*1000*'1a. Spredningsmodell input'!$C$12)</f>
        <v>#VALUE!</v>
      </c>
      <c r="F52" s="318" t="e">
        <f>(Mellomregninger!BS52+Mellomregninger!BT52)*1000000/('1a. Spredningsmodell input'!$C$18*'1a. Spredningsmodell input'!$C$17*'1a. Spredningsmodell input'!$C$16*1000*'1a. Spredningsmodell input'!$C$12)</f>
        <v>#VALUE!</v>
      </c>
      <c r="G52" s="328" t="e">
        <f>C52/Stoff!$F52</f>
        <v>#DIV/0!</v>
      </c>
      <c r="H52" s="328" t="e">
        <f>D52/Stoff!$F52</f>
        <v>#VALUE!</v>
      </c>
      <c r="I52" s="328" t="e">
        <f>E52/Stoff!$F52</f>
        <v>#VALUE!</v>
      </c>
      <c r="J52" s="328" t="e">
        <f>F52/Stoff!$F52</f>
        <v>#VALUE!</v>
      </c>
      <c r="K52" s="328" t="e">
        <f>IF(G52&lt;1,0,-LN((Stoff!$F52*('1a. Spredningsmodell input'!$C$18*'1a. Spredningsmodell input'!$C$17*'1a. Spredningsmodell input'!$C$16*1000*'1a. Spredningsmodell input'!$C$12)/1000000)/(Mellomregninger!$D52-Stoff!$P52*Mellomregninger!$D52))/(Mellomregninger!$F52+Stoff!$L52*365))</f>
        <v>#DIV/0!</v>
      </c>
    </row>
    <row r="53" spans="1:11" x14ac:dyDescent="0.35">
      <c r="A53" s="239" t="s">
        <v>157</v>
      </c>
      <c r="B53" s="320" t="str">
        <f>Mellomregninger!D53</f>
        <v/>
      </c>
      <c r="C53" s="318" t="e">
        <f>'1b. Kons. umettet jord'!E53</f>
        <v>#DIV/0!</v>
      </c>
      <c r="D53" s="318" t="e">
        <f>(Mellomregninger!AU53+Mellomregninger!AV53)*1000000/('1a. Spredningsmodell input'!$C$18*'1a. Spredningsmodell input'!$C$17*'1a. Spredningsmodell input'!$C$16*1000*'1a. Spredningsmodell input'!$C$12)</f>
        <v>#VALUE!</v>
      </c>
      <c r="E53" s="318" t="e">
        <f>(Mellomregninger!BG53+Mellomregninger!BH53)*1000000/('1a. Spredningsmodell input'!$C$18*'1a. Spredningsmodell input'!$C$17*'1a. Spredningsmodell input'!$C$16*1000*'1a. Spredningsmodell input'!$C$12)</f>
        <v>#VALUE!</v>
      </c>
      <c r="F53" s="318" t="e">
        <f>(Mellomregninger!BS53+Mellomregninger!BT53)*1000000/('1a. Spredningsmodell input'!$C$18*'1a. Spredningsmodell input'!$C$17*'1a. Spredningsmodell input'!$C$16*1000*'1a. Spredningsmodell input'!$C$12)</f>
        <v>#VALUE!</v>
      </c>
      <c r="G53" s="328" t="e">
        <f>C53/Stoff!$F53</f>
        <v>#DIV/0!</v>
      </c>
      <c r="H53" s="328" t="e">
        <f>D53/Stoff!$F53</f>
        <v>#VALUE!</v>
      </c>
      <c r="I53" s="328" t="e">
        <f>E53/Stoff!$F53</f>
        <v>#VALUE!</v>
      </c>
      <c r="J53" s="328" t="e">
        <f>F53/Stoff!$F53</f>
        <v>#VALUE!</v>
      </c>
      <c r="K53" s="328" t="e">
        <f>IF(G53&lt;1,0,-LN((Stoff!$F53*('1a. Spredningsmodell input'!$C$18*'1a. Spredningsmodell input'!$C$17*'1a. Spredningsmodell input'!$C$16*1000*'1a. Spredningsmodell input'!$C$12)/1000000)/(Mellomregninger!$D53-Stoff!$P53*Mellomregninger!$D53))/(Mellomregninger!$F53+Stoff!$L53*365))</f>
        <v>#DIV/0!</v>
      </c>
    </row>
    <row r="54" spans="1:11" x14ac:dyDescent="0.35">
      <c r="A54" s="239" t="s">
        <v>156</v>
      </c>
      <c r="B54" s="320" t="str">
        <f>Mellomregninger!D54</f>
        <v/>
      </c>
      <c r="C54" s="318" t="e">
        <f>'1b. Kons. umettet jord'!E54</f>
        <v>#DIV/0!</v>
      </c>
      <c r="D54" s="318" t="e">
        <f>(Mellomregninger!AU54+Mellomregninger!AV54)*1000000/('1a. Spredningsmodell input'!$C$18*'1a. Spredningsmodell input'!$C$17*'1a. Spredningsmodell input'!$C$16*1000*'1a. Spredningsmodell input'!$C$12)</f>
        <v>#VALUE!</v>
      </c>
      <c r="E54" s="318" t="e">
        <f>(Mellomregninger!BG54+Mellomregninger!BH54)*1000000/('1a. Spredningsmodell input'!$C$18*'1a. Spredningsmodell input'!$C$17*'1a. Spredningsmodell input'!$C$16*1000*'1a. Spredningsmodell input'!$C$12)</f>
        <v>#VALUE!</v>
      </c>
      <c r="F54" s="318" t="e">
        <f>(Mellomregninger!BS54+Mellomregninger!BT54)*1000000/('1a. Spredningsmodell input'!$C$18*'1a. Spredningsmodell input'!$C$17*'1a. Spredningsmodell input'!$C$16*1000*'1a. Spredningsmodell input'!$C$12)</f>
        <v>#VALUE!</v>
      </c>
      <c r="G54" s="328" t="e">
        <f>C54/Stoff!$F54</f>
        <v>#DIV/0!</v>
      </c>
      <c r="H54" s="328" t="e">
        <f>D54/Stoff!$F54</f>
        <v>#VALUE!</v>
      </c>
      <c r="I54" s="328" t="e">
        <f>E54/Stoff!$F54</f>
        <v>#VALUE!</v>
      </c>
      <c r="J54" s="328" t="e">
        <f>F54/Stoff!$F54</f>
        <v>#VALUE!</v>
      </c>
      <c r="K54" s="328" t="e">
        <f>IF(G54&lt;1,0,-LN((Stoff!$F54*('1a. Spredningsmodell input'!$C$18*'1a. Spredningsmodell input'!$C$17*'1a. Spredningsmodell input'!$C$16*1000*'1a. Spredningsmodell input'!$C$12)/1000000)/(Mellomregninger!$D54-Stoff!$P54*Mellomregninger!$D54))/(Mellomregninger!$F54+Stoff!$L54*365))</f>
        <v>#DIV/0!</v>
      </c>
    </row>
    <row r="55" spans="1:11" x14ac:dyDescent="0.35">
      <c r="A55" s="239" t="s">
        <v>155</v>
      </c>
      <c r="B55" s="320" t="str">
        <f>Mellomregninger!D55</f>
        <v/>
      </c>
      <c r="C55" s="318" t="e">
        <f>'1b. Kons. umettet jord'!E55</f>
        <v>#DIV/0!</v>
      </c>
      <c r="D55" s="318" t="e">
        <f>(Mellomregninger!AU55+Mellomregninger!AV55)*1000000/('1a. Spredningsmodell input'!$C$18*'1a. Spredningsmodell input'!$C$17*'1a. Spredningsmodell input'!$C$16*1000*'1a. Spredningsmodell input'!$C$12)</f>
        <v>#VALUE!</v>
      </c>
      <c r="E55" s="318" t="e">
        <f>(Mellomregninger!BG55+Mellomregninger!BH55)*1000000/('1a. Spredningsmodell input'!$C$18*'1a. Spredningsmodell input'!$C$17*'1a. Spredningsmodell input'!$C$16*1000*'1a. Spredningsmodell input'!$C$12)</f>
        <v>#VALUE!</v>
      </c>
      <c r="F55" s="318" t="e">
        <f>(Mellomregninger!BS55+Mellomregninger!BT55)*1000000/('1a. Spredningsmodell input'!$C$18*'1a. Spredningsmodell input'!$C$17*'1a. Spredningsmodell input'!$C$16*1000*'1a. Spredningsmodell input'!$C$12)</f>
        <v>#VALUE!</v>
      </c>
      <c r="G55" s="328" t="e">
        <f>C55/Stoff!$F55</f>
        <v>#DIV/0!</v>
      </c>
      <c r="H55" s="328" t="e">
        <f>D55/Stoff!$F55</f>
        <v>#VALUE!</v>
      </c>
      <c r="I55" s="328" t="e">
        <f>E55/Stoff!$F55</f>
        <v>#VALUE!</v>
      </c>
      <c r="J55" s="328" t="e">
        <f>F55/Stoff!$F55</f>
        <v>#VALUE!</v>
      </c>
      <c r="K55" s="328" t="e">
        <f>IF(G55&lt;1,0,-LN((Stoff!$F55*('1a. Spredningsmodell input'!$C$18*'1a. Spredningsmodell input'!$C$17*'1a. Spredningsmodell input'!$C$16*1000*'1a. Spredningsmodell input'!$C$12)/1000000)/(Mellomregninger!$D55-Stoff!$P55*Mellomregninger!$D55))/(Mellomregninger!$F55+Stoff!$L55*365))</f>
        <v>#DIV/0!</v>
      </c>
    </row>
    <row r="56" spans="1:11" x14ac:dyDescent="0.35">
      <c r="A56" s="242" t="s">
        <v>154</v>
      </c>
      <c r="B56" s="320" t="str">
        <f>Mellomregninger!D56</f>
        <v/>
      </c>
      <c r="C56" s="318" t="e">
        <f>'1b. Kons. umettet jord'!E56</f>
        <v>#DIV/0!</v>
      </c>
      <c r="D56" s="318" t="e">
        <f>(Mellomregninger!AU56+Mellomregninger!AV56)*1000000/('1a. Spredningsmodell input'!$C$18*'1a. Spredningsmodell input'!$C$17*'1a. Spredningsmodell input'!$C$16*1000*'1a. Spredningsmodell input'!$C$12)</f>
        <v>#VALUE!</v>
      </c>
      <c r="E56" s="318" t="e">
        <f>(Mellomregninger!BG56+Mellomregninger!BH56)*1000000/('1a. Spredningsmodell input'!$C$18*'1a. Spredningsmodell input'!$C$17*'1a. Spredningsmodell input'!$C$16*1000*'1a. Spredningsmodell input'!$C$12)</f>
        <v>#VALUE!</v>
      </c>
      <c r="F56" s="318" t="e">
        <f>(Mellomregninger!BS56+Mellomregninger!BT56)*1000000/('1a. Spredningsmodell input'!$C$18*'1a. Spredningsmodell input'!$C$17*'1a. Spredningsmodell input'!$C$16*1000*'1a. Spredningsmodell input'!$C$12)</f>
        <v>#VALUE!</v>
      </c>
      <c r="G56" s="328" t="e">
        <f>C56/Stoff!$F56</f>
        <v>#DIV/0!</v>
      </c>
      <c r="H56" s="328" t="e">
        <f>D56/Stoff!$F56</f>
        <v>#VALUE!</v>
      </c>
      <c r="I56" s="328" t="e">
        <f>E56/Stoff!$F56</f>
        <v>#VALUE!</v>
      </c>
      <c r="J56" s="328" t="e">
        <f>F56/Stoff!$F56</f>
        <v>#VALUE!</v>
      </c>
      <c r="K56" s="328" t="e">
        <f>IF(G56&lt;1,0,-LN((Stoff!$F56*('1a. Spredningsmodell input'!$C$18*'1a. Spredningsmodell input'!$C$17*'1a. Spredningsmodell input'!$C$16*1000*'1a. Spredningsmodell input'!$C$12)/1000000)/(Mellomregninger!$D56-Stoff!$P56*Mellomregninger!$D56))/(Mellomregninger!$F56+Stoff!$L56*365))</f>
        <v>#DIV/0!</v>
      </c>
    </row>
    <row r="57" spans="1:11" x14ac:dyDescent="0.35">
      <c r="A57" s="242" t="s">
        <v>153</v>
      </c>
      <c r="B57" s="320" t="str">
        <f>Mellomregninger!D57</f>
        <v/>
      </c>
      <c r="C57" s="318" t="e">
        <f>'1b. Kons. umettet jord'!E57</f>
        <v>#DIV/0!</v>
      </c>
      <c r="D57" s="318" t="e">
        <f>(Mellomregninger!AU57+Mellomregninger!AV57)*1000000/('1a. Spredningsmodell input'!$C$18*'1a. Spredningsmodell input'!$C$17*'1a. Spredningsmodell input'!$C$16*1000*'1a. Spredningsmodell input'!$C$12)</f>
        <v>#VALUE!</v>
      </c>
      <c r="E57" s="318" t="e">
        <f>(Mellomregninger!BG57+Mellomregninger!BH57)*1000000/('1a. Spredningsmodell input'!$C$18*'1a. Spredningsmodell input'!$C$17*'1a. Spredningsmodell input'!$C$16*1000*'1a. Spredningsmodell input'!$C$12)</f>
        <v>#VALUE!</v>
      </c>
      <c r="F57" s="318" t="e">
        <f>(Mellomregninger!BS57+Mellomregninger!BT57)*1000000/('1a. Spredningsmodell input'!$C$18*'1a. Spredningsmodell input'!$C$17*'1a. Spredningsmodell input'!$C$16*1000*'1a. Spredningsmodell input'!$C$12)</f>
        <v>#VALUE!</v>
      </c>
      <c r="G57" s="328" t="e">
        <f>C57/Stoff!$F57</f>
        <v>#DIV/0!</v>
      </c>
      <c r="H57" s="328" t="e">
        <f>D57/Stoff!$F57</f>
        <v>#VALUE!</v>
      </c>
      <c r="I57" s="328" t="e">
        <f>E57/Stoff!$F57</f>
        <v>#VALUE!</v>
      </c>
      <c r="J57" s="328" t="e">
        <f>F57/Stoff!$F57</f>
        <v>#VALUE!</v>
      </c>
      <c r="K57" s="328" t="e">
        <f>IF(G57&lt;1,0,-LN((Stoff!$F57*('1a. Spredningsmodell input'!$C$18*'1a. Spredningsmodell input'!$C$17*'1a. Spredningsmodell input'!$C$16*1000*'1a. Spredningsmodell input'!$C$12)/1000000)/(Mellomregninger!$D57-Stoff!$P57*Mellomregninger!$D57))/(Mellomregninger!$F57+Stoff!$L57*365))</f>
        <v>#DIV/0!</v>
      </c>
    </row>
    <row r="58" spans="1:11" x14ac:dyDescent="0.35">
      <c r="A58" s="242" t="s">
        <v>152</v>
      </c>
      <c r="B58" s="320" t="str">
        <f>Mellomregninger!D58</f>
        <v/>
      </c>
      <c r="C58" s="318" t="e">
        <f>'1b. Kons. umettet jord'!E58</f>
        <v>#DIV/0!</v>
      </c>
      <c r="D58" s="318" t="e">
        <f>(Mellomregninger!AU58+Mellomregninger!AV58)*1000000/('1a. Spredningsmodell input'!$C$18*'1a. Spredningsmodell input'!$C$17*'1a. Spredningsmodell input'!$C$16*1000*'1a. Spredningsmodell input'!$C$12)</f>
        <v>#VALUE!</v>
      </c>
      <c r="E58" s="318" t="e">
        <f>(Mellomregninger!BG58+Mellomregninger!BH58)*1000000/('1a. Spredningsmodell input'!$C$18*'1a. Spredningsmodell input'!$C$17*'1a. Spredningsmodell input'!$C$16*1000*'1a. Spredningsmodell input'!$C$12)</f>
        <v>#VALUE!</v>
      </c>
      <c r="F58" s="318" t="e">
        <f>(Mellomregninger!BS58+Mellomregninger!BT58)*1000000/('1a. Spredningsmodell input'!$C$18*'1a. Spredningsmodell input'!$C$17*'1a. Spredningsmodell input'!$C$16*1000*'1a. Spredningsmodell input'!$C$12)</f>
        <v>#VALUE!</v>
      </c>
      <c r="G58" s="328" t="e">
        <f>C58/Stoff!$F58</f>
        <v>#DIV/0!</v>
      </c>
      <c r="H58" s="328" t="e">
        <f>D58/Stoff!$F58</f>
        <v>#VALUE!</v>
      </c>
      <c r="I58" s="328" t="e">
        <f>E58/Stoff!$F58</f>
        <v>#VALUE!</v>
      </c>
      <c r="J58" s="328" t="e">
        <f>F58/Stoff!$F58</f>
        <v>#VALUE!</v>
      </c>
      <c r="K58" s="328" t="e">
        <f>IF(G58&lt;1,0,-LN((Stoff!$F58*('1a. Spredningsmodell input'!$C$18*'1a. Spredningsmodell input'!$C$17*'1a. Spredningsmodell input'!$C$16*1000*'1a. Spredningsmodell input'!$C$12)/1000000)/(Mellomregninger!$D58-Stoff!$P58*Mellomregninger!$D58))/(Mellomregninger!$F58+Stoff!$L58*365))</f>
        <v>#DIV/0!</v>
      </c>
    </row>
    <row r="59" spans="1:11" x14ac:dyDescent="0.35">
      <c r="A59" s="242" t="s">
        <v>151</v>
      </c>
      <c r="B59" s="320" t="str">
        <f>Mellomregninger!D59</f>
        <v/>
      </c>
      <c r="C59" s="318" t="e">
        <f>'1b. Kons. umettet jord'!E59</f>
        <v>#DIV/0!</v>
      </c>
      <c r="D59" s="318" t="e">
        <f>(Mellomregninger!AU59+Mellomregninger!AV59)*1000000/('1a. Spredningsmodell input'!$C$18*'1a. Spredningsmodell input'!$C$17*'1a. Spredningsmodell input'!$C$16*1000*'1a. Spredningsmodell input'!$C$12)</f>
        <v>#VALUE!</v>
      </c>
      <c r="E59" s="318" t="e">
        <f>(Mellomregninger!BG59+Mellomregninger!BH59)*1000000/('1a. Spredningsmodell input'!$C$18*'1a. Spredningsmodell input'!$C$17*'1a. Spredningsmodell input'!$C$16*1000*'1a. Spredningsmodell input'!$C$12)</f>
        <v>#VALUE!</v>
      </c>
      <c r="F59" s="318" t="e">
        <f>(Mellomregninger!BS59+Mellomregninger!BT59)*1000000/('1a. Spredningsmodell input'!$C$18*'1a. Spredningsmodell input'!$C$17*'1a. Spredningsmodell input'!$C$16*1000*'1a. Spredningsmodell input'!$C$12)</f>
        <v>#VALUE!</v>
      </c>
      <c r="G59" s="328" t="e">
        <f>C59/Stoff!$F59</f>
        <v>#DIV/0!</v>
      </c>
      <c r="H59" s="328" t="e">
        <f>D59/Stoff!$F59</f>
        <v>#VALUE!</v>
      </c>
      <c r="I59" s="328" t="e">
        <f>E59/Stoff!$F59</f>
        <v>#VALUE!</v>
      </c>
      <c r="J59" s="328" t="e">
        <f>F59/Stoff!$F59</f>
        <v>#VALUE!</v>
      </c>
      <c r="K59" s="328" t="e">
        <f>IF(G59&lt;1,0,-LN((Stoff!$F59*('1a. Spredningsmodell input'!$C$18*'1a. Spredningsmodell input'!$C$17*'1a. Spredningsmodell input'!$C$16*1000*'1a. Spredningsmodell input'!$C$12)/1000000)/(Mellomregninger!$D59-Stoff!$P59*Mellomregninger!$D59))/(Mellomregninger!$F59+Stoff!$L59*365))</f>
        <v>#DIV/0!</v>
      </c>
    </row>
    <row r="60" spans="1:11" x14ac:dyDescent="0.35">
      <c r="A60" s="242" t="s">
        <v>150</v>
      </c>
      <c r="B60" s="320" t="str">
        <f>Mellomregninger!D60</f>
        <v/>
      </c>
      <c r="C60" s="318" t="e">
        <f>'1b. Kons. umettet jord'!E60</f>
        <v>#DIV/0!</v>
      </c>
      <c r="D60" s="318" t="e">
        <f>(Mellomregninger!AU60+Mellomregninger!AV60)*1000000/('1a. Spredningsmodell input'!$C$18*'1a. Spredningsmodell input'!$C$17*'1a. Spredningsmodell input'!$C$16*1000*'1a. Spredningsmodell input'!$C$12)</f>
        <v>#VALUE!</v>
      </c>
      <c r="E60" s="318" t="e">
        <f>(Mellomregninger!BG60+Mellomregninger!BH60)*1000000/('1a. Spredningsmodell input'!$C$18*'1a. Spredningsmodell input'!$C$17*'1a. Spredningsmodell input'!$C$16*1000*'1a. Spredningsmodell input'!$C$12)</f>
        <v>#VALUE!</v>
      </c>
      <c r="F60" s="318" t="e">
        <f>(Mellomregninger!BS60+Mellomregninger!BT60)*1000000/('1a. Spredningsmodell input'!$C$18*'1a. Spredningsmodell input'!$C$17*'1a. Spredningsmodell input'!$C$16*1000*'1a. Spredningsmodell input'!$C$12)</f>
        <v>#VALUE!</v>
      </c>
      <c r="G60" s="328" t="e">
        <f>C60/Stoff!$F60</f>
        <v>#DIV/0!</v>
      </c>
      <c r="H60" s="328" t="e">
        <f>D60/Stoff!$F60</f>
        <v>#VALUE!</v>
      </c>
      <c r="I60" s="328" t="e">
        <f>E60/Stoff!$F60</f>
        <v>#VALUE!</v>
      </c>
      <c r="J60" s="328" t="e">
        <f>F60/Stoff!$F60</f>
        <v>#VALUE!</v>
      </c>
      <c r="K60" s="328" t="e">
        <f>IF(G60&lt;1,0,-LN((Stoff!$F60*('1a. Spredningsmodell input'!$C$18*'1a. Spredningsmodell input'!$C$17*'1a. Spredningsmodell input'!$C$16*1000*'1a. Spredningsmodell input'!$C$12)/1000000)/(Mellomregninger!$D60-Stoff!$P60*Mellomregninger!$D60))/(Mellomregninger!$F60+Stoff!$L60*365))</f>
        <v>#DIV/0!</v>
      </c>
    </row>
    <row r="61" spans="1:11" x14ac:dyDescent="0.35">
      <c r="A61" s="242" t="s">
        <v>149</v>
      </c>
      <c r="B61" s="320" t="str">
        <f>Mellomregninger!D61</f>
        <v/>
      </c>
      <c r="C61" s="318" t="e">
        <f>'1b. Kons. umettet jord'!E61</f>
        <v>#DIV/0!</v>
      </c>
      <c r="D61" s="318" t="e">
        <f>(Mellomregninger!AU61+Mellomregninger!AV61)*1000000/('1a. Spredningsmodell input'!$C$18*'1a. Spredningsmodell input'!$C$17*'1a. Spredningsmodell input'!$C$16*1000*'1a. Spredningsmodell input'!$C$12)</f>
        <v>#VALUE!</v>
      </c>
      <c r="E61" s="318" t="e">
        <f>(Mellomregninger!BG61+Mellomregninger!BH61)*1000000/('1a. Spredningsmodell input'!$C$18*'1a. Spredningsmodell input'!$C$17*'1a. Spredningsmodell input'!$C$16*1000*'1a. Spredningsmodell input'!$C$12)</f>
        <v>#VALUE!</v>
      </c>
      <c r="F61" s="318" t="e">
        <f>(Mellomregninger!BS61+Mellomregninger!BT61)*1000000/('1a. Spredningsmodell input'!$C$18*'1a. Spredningsmodell input'!$C$17*'1a. Spredningsmodell input'!$C$16*1000*'1a. Spredningsmodell input'!$C$12)</f>
        <v>#VALUE!</v>
      </c>
      <c r="G61" s="328" t="e">
        <f>C61/Stoff!$F61</f>
        <v>#DIV/0!</v>
      </c>
      <c r="H61" s="328" t="e">
        <f>D61/Stoff!$F61</f>
        <v>#VALUE!</v>
      </c>
      <c r="I61" s="328" t="e">
        <f>E61/Stoff!$F61</f>
        <v>#VALUE!</v>
      </c>
      <c r="J61" s="328" t="e">
        <f>F61/Stoff!$F61</f>
        <v>#VALUE!</v>
      </c>
      <c r="K61" s="328" t="e">
        <f>IF(G61&lt;1,0,-LN((Stoff!$F61*('1a. Spredningsmodell input'!$C$18*'1a. Spredningsmodell input'!$C$17*'1a. Spredningsmodell input'!$C$16*1000*'1a. Spredningsmodell input'!$C$12)/1000000)/(Mellomregninger!$D61-Stoff!$P61*Mellomregninger!$D61))/(Mellomregninger!$F61+Stoff!$L61*365))</f>
        <v>#DIV/0!</v>
      </c>
    </row>
    <row r="62" spans="1:11" x14ac:dyDescent="0.35">
      <c r="A62" s="239" t="s">
        <v>148</v>
      </c>
      <c r="B62" s="320" t="str">
        <f>Mellomregninger!D62</f>
        <v/>
      </c>
      <c r="C62" s="318" t="e">
        <f>'1b. Kons. umettet jord'!E62</f>
        <v>#DIV/0!</v>
      </c>
      <c r="D62" s="318" t="e">
        <f>(Mellomregninger!AU62+Mellomregninger!AV62)*1000000/('1a. Spredningsmodell input'!$C$18*'1a. Spredningsmodell input'!$C$17*'1a. Spredningsmodell input'!$C$16*1000*'1a. Spredningsmodell input'!$C$12)</f>
        <v>#VALUE!</v>
      </c>
      <c r="E62" s="318" t="e">
        <f>(Mellomregninger!BG62+Mellomregninger!BH62)*1000000/('1a. Spredningsmodell input'!$C$18*'1a. Spredningsmodell input'!$C$17*'1a. Spredningsmodell input'!$C$16*1000*'1a. Spredningsmodell input'!$C$12)</f>
        <v>#VALUE!</v>
      </c>
      <c r="F62" s="318" t="e">
        <f>(Mellomregninger!BS62+Mellomregninger!BT62)*1000000/('1a. Spredningsmodell input'!$C$18*'1a. Spredningsmodell input'!$C$17*'1a. Spredningsmodell input'!$C$16*1000*'1a. Spredningsmodell input'!$C$12)</f>
        <v>#VALUE!</v>
      </c>
      <c r="G62" s="328" t="e">
        <f>C62/Stoff!$F62</f>
        <v>#DIV/0!</v>
      </c>
      <c r="H62" s="328" t="e">
        <f>D62/Stoff!$F62</f>
        <v>#VALUE!</v>
      </c>
      <c r="I62" s="328" t="e">
        <f>E62/Stoff!$F62</f>
        <v>#VALUE!</v>
      </c>
      <c r="J62" s="328" t="e">
        <f>F62/Stoff!$F62</f>
        <v>#VALUE!</v>
      </c>
      <c r="K62" s="328" t="e">
        <f>IF(G62&lt;1,0,-LN((Stoff!$F62*('1a. Spredningsmodell input'!$C$18*'1a. Spredningsmodell input'!$C$17*'1a. Spredningsmodell input'!$C$16*1000*'1a. Spredningsmodell input'!$C$12)/1000000)/(Mellomregninger!$D62-Stoff!$P62*Mellomregninger!$D62))/(Mellomregninger!$F62+Stoff!$L62*365))</f>
        <v>#DIV/0!</v>
      </c>
    </row>
    <row r="63" spans="1:11" x14ac:dyDescent="0.35">
      <c r="A63" s="239" t="s">
        <v>147</v>
      </c>
      <c r="B63" s="320" t="str">
        <f>Mellomregninger!D63</f>
        <v/>
      </c>
      <c r="C63" s="318" t="e">
        <f>'1b. Kons. umettet jord'!E63</f>
        <v>#DIV/0!</v>
      </c>
      <c r="D63" s="318" t="e">
        <f>(Mellomregninger!AU63+Mellomregninger!AV63)*1000000/('1a. Spredningsmodell input'!$C$18*'1a. Spredningsmodell input'!$C$17*'1a. Spredningsmodell input'!$C$16*1000*'1a. Spredningsmodell input'!$C$12)</f>
        <v>#VALUE!</v>
      </c>
      <c r="E63" s="318" t="e">
        <f>(Mellomregninger!BG63+Mellomregninger!BH63)*1000000/('1a. Spredningsmodell input'!$C$18*'1a. Spredningsmodell input'!$C$17*'1a. Spredningsmodell input'!$C$16*1000*'1a. Spredningsmodell input'!$C$12)</f>
        <v>#VALUE!</v>
      </c>
      <c r="F63" s="318" t="e">
        <f>(Mellomregninger!BS63+Mellomregninger!BT63)*1000000/('1a. Spredningsmodell input'!$C$18*'1a. Spredningsmodell input'!$C$17*'1a. Spredningsmodell input'!$C$16*1000*'1a. Spredningsmodell input'!$C$12)</f>
        <v>#VALUE!</v>
      </c>
      <c r="G63" s="328" t="e">
        <f>C63/Stoff!$F63</f>
        <v>#DIV/0!</v>
      </c>
      <c r="H63" s="328" t="e">
        <f>D63/Stoff!$F63</f>
        <v>#VALUE!</v>
      </c>
      <c r="I63" s="328" t="e">
        <f>E63/Stoff!$F63</f>
        <v>#VALUE!</v>
      </c>
      <c r="J63" s="328" t="e">
        <f>F63/Stoff!$F63</f>
        <v>#VALUE!</v>
      </c>
      <c r="K63" s="328" t="e">
        <f>IF(G63&lt;1,0,-LN((Stoff!$F63*('1a. Spredningsmodell input'!$C$18*'1a. Spredningsmodell input'!$C$17*'1a. Spredningsmodell input'!$C$16*1000*'1a. Spredningsmodell input'!$C$12)/1000000)/(Mellomregninger!$D63-Stoff!$P63*Mellomregninger!$D63))/(Mellomregninger!$F63+Stoff!$L63*365))</f>
        <v>#DIV/0!</v>
      </c>
    </row>
    <row r="64" spans="1:11" x14ac:dyDescent="0.35">
      <c r="A64" s="239" t="s">
        <v>146</v>
      </c>
      <c r="B64" s="320" t="str">
        <f>Mellomregninger!D64</f>
        <v/>
      </c>
      <c r="C64" s="318" t="e">
        <f>'1b. Kons. umettet jord'!E64</f>
        <v>#DIV/0!</v>
      </c>
      <c r="D64" s="318" t="e">
        <f>(Mellomregninger!AU64+Mellomregninger!AV64)*1000000/('1a. Spredningsmodell input'!$C$18*'1a. Spredningsmodell input'!$C$17*'1a. Spredningsmodell input'!$C$16*1000*'1a. Spredningsmodell input'!$C$12)</f>
        <v>#VALUE!</v>
      </c>
      <c r="E64" s="318" t="e">
        <f>(Mellomregninger!BG64+Mellomregninger!BH64)*1000000/('1a. Spredningsmodell input'!$C$18*'1a. Spredningsmodell input'!$C$17*'1a. Spredningsmodell input'!$C$16*1000*'1a. Spredningsmodell input'!$C$12)</f>
        <v>#VALUE!</v>
      </c>
      <c r="F64" s="318" t="e">
        <f>(Mellomregninger!BS64+Mellomregninger!BT64)*1000000/('1a. Spredningsmodell input'!$C$18*'1a. Spredningsmodell input'!$C$17*'1a. Spredningsmodell input'!$C$16*1000*'1a. Spredningsmodell input'!$C$12)</f>
        <v>#VALUE!</v>
      </c>
      <c r="G64" s="328" t="e">
        <f>C64/Stoff!$F64</f>
        <v>#DIV/0!</v>
      </c>
      <c r="H64" s="328" t="e">
        <f>D64/Stoff!$F64</f>
        <v>#VALUE!</v>
      </c>
      <c r="I64" s="328" t="e">
        <f>E64/Stoff!$F64</f>
        <v>#VALUE!</v>
      </c>
      <c r="J64" s="328" t="e">
        <f>F64/Stoff!$F64</f>
        <v>#VALUE!</v>
      </c>
      <c r="K64" s="328" t="e">
        <f>IF(G64&lt;1,0,-LN((Stoff!$F64*('1a. Spredningsmodell input'!$C$18*'1a. Spredningsmodell input'!$C$17*'1a. Spredningsmodell input'!$C$16*1000*'1a. Spredningsmodell input'!$C$12)/1000000)/(Mellomregninger!$D64-Stoff!$P64*Mellomregninger!$D64))/(Mellomregninger!$F64+Stoff!$L64*365))</f>
        <v>#DIV/0!</v>
      </c>
    </row>
    <row r="65" spans="1:11" x14ac:dyDescent="0.35">
      <c r="A65" s="239" t="s">
        <v>145</v>
      </c>
      <c r="B65" s="320" t="str">
        <f>Mellomregninger!D65</f>
        <v/>
      </c>
      <c r="C65" s="318" t="e">
        <f>'1b. Kons. umettet jord'!E65</f>
        <v>#DIV/0!</v>
      </c>
      <c r="D65" s="318" t="e">
        <f>(Mellomregninger!AU65+Mellomregninger!AV65)*1000000/('1a. Spredningsmodell input'!$C$18*'1a. Spredningsmodell input'!$C$17*'1a. Spredningsmodell input'!$C$16*1000*'1a. Spredningsmodell input'!$C$12)</f>
        <v>#VALUE!</v>
      </c>
      <c r="E65" s="318" t="e">
        <f>(Mellomregninger!BG65+Mellomregninger!BH65)*1000000/('1a. Spredningsmodell input'!$C$18*'1a. Spredningsmodell input'!$C$17*'1a. Spredningsmodell input'!$C$16*1000*'1a. Spredningsmodell input'!$C$12)</f>
        <v>#VALUE!</v>
      </c>
      <c r="F65" s="318" t="e">
        <f>(Mellomregninger!BS65+Mellomregninger!BT65)*1000000/('1a. Spredningsmodell input'!$C$18*'1a. Spredningsmodell input'!$C$17*'1a. Spredningsmodell input'!$C$16*1000*'1a. Spredningsmodell input'!$C$12)</f>
        <v>#VALUE!</v>
      </c>
      <c r="G65" s="328" t="e">
        <f>C65/Stoff!$F65</f>
        <v>#DIV/0!</v>
      </c>
      <c r="H65" s="328" t="e">
        <f>D65/Stoff!$F65</f>
        <v>#VALUE!</v>
      </c>
      <c r="I65" s="328" t="e">
        <f>E65/Stoff!$F65</f>
        <v>#VALUE!</v>
      </c>
      <c r="J65" s="328" t="e">
        <f>F65/Stoff!$F65</f>
        <v>#VALUE!</v>
      </c>
      <c r="K65" s="328" t="e">
        <f>IF(G65&lt;1,0,-LN((Stoff!$F65*('1a. Spredningsmodell input'!$C$18*'1a. Spredningsmodell input'!$C$17*'1a. Spredningsmodell input'!$C$16*1000*'1a. Spredningsmodell input'!$C$12)/1000000)/(Mellomregninger!$D65-Stoff!$P65*Mellomregninger!$D65))/(Mellomregninger!$F65+Stoff!$L65*365))</f>
        <v>#DIV/0!</v>
      </c>
    </row>
    <row r="66" spans="1:11" x14ac:dyDescent="0.35">
      <c r="A66" s="239" t="s">
        <v>144</v>
      </c>
      <c r="B66" s="320" t="str">
        <f>Mellomregninger!D66</f>
        <v/>
      </c>
      <c r="C66" s="318" t="e">
        <f>'1b. Kons. umettet jord'!E66</f>
        <v>#DIV/0!</v>
      </c>
      <c r="D66" s="318" t="e">
        <f>(Mellomregninger!AU66+Mellomregninger!AV66)*1000000/('1a. Spredningsmodell input'!$C$18*'1a. Spredningsmodell input'!$C$17*'1a. Spredningsmodell input'!$C$16*1000*'1a. Spredningsmodell input'!$C$12)</f>
        <v>#VALUE!</v>
      </c>
      <c r="E66" s="318" t="e">
        <f>(Mellomregninger!BG66+Mellomregninger!BH66)*1000000/('1a. Spredningsmodell input'!$C$18*'1a. Spredningsmodell input'!$C$17*'1a. Spredningsmodell input'!$C$16*1000*'1a. Spredningsmodell input'!$C$12)</f>
        <v>#VALUE!</v>
      </c>
      <c r="F66" s="318" t="e">
        <f>(Mellomregninger!BS66+Mellomregninger!BT66)*1000000/('1a. Spredningsmodell input'!$C$18*'1a. Spredningsmodell input'!$C$17*'1a. Spredningsmodell input'!$C$16*1000*'1a. Spredningsmodell input'!$C$12)</f>
        <v>#VALUE!</v>
      </c>
      <c r="G66" s="328" t="e">
        <f>C66/Stoff!$F66</f>
        <v>#DIV/0!</v>
      </c>
      <c r="H66" s="328" t="e">
        <f>D66/Stoff!$F66</f>
        <v>#VALUE!</v>
      </c>
      <c r="I66" s="328" t="e">
        <f>E66/Stoff!$F66</f>
        <v>#VALUE!</v>
      </c>
      <c r="J66" s="328" t="e">
        <f>F66/Stoff!$F66</f>
        <v>#VALUE!</v>
      </c>
      <c r="K66" s="328" t="e">
        <f>IF(G66&lt;1,0,-LN((Stoff!$F66*('1a. Spredningsmodell input'!$C$18*'1a. Spredningsmodell input'!$C$17*'1a. Spredningsmodell input'!$C$16*1000*'1a. Spredningsmodell input'!$C$12)/1000000)/(Mellomregninger!$D66-Stoff!$P66*Mellomregninger!$D66))/(Mellomregninger!$F66+Stoff!$L66*365))</f>
        <v>#DIV/0!</v>
      </c>
    </row>
    <row r="67" spans="1:11" x14ac:dyDescent="0.35">
      <c r="A67" s="239" t="s">
        <v>143</v>
      </c>
      <c r="B67" s="320" t="str">
        <f>Mellomregninger!D67</f>
        <v/>
      </c>
      <c r="C67" s="318" t="e">
        <f>'1b. Kons. umettet jord'!E67</f>
        <v>#DIV/0!</v>
      </c>
      <c r="D67" s="318" t="e">
        <f>(Mellomregninger!AU67+Mellomregninger!AV67)*1000000/('1a. Spredningsmodell input'!$C$18*'1a. Spredningsmodell input'!$C$17*'1a. Spredningsmodell input'!$C$16*1000*'1a. Spredningsmodell input'!$C$12)</f>
        <v>#VALUE!</v>
      </c>
      <c r="E67" s="318" t="e">
        <f>(Mellomregninger!BG67+Mellomregninger!BH67)*1000000/('1a. Spredningsmodell input'!$C$18*'1a. Spredningsmodell input'!$C$17*'1a. Spredningsmodell input'!$C$16*1000*'1a. Spredningsmodell input'!$C$12)</f>
        <v>#VALUE!</v>
      </c>
      <c r="F67" s="318" t="e">
        <f>(Mellomregninger!BS67+Mellomregninger!BT67)*1000000/('1a. Spredningsmodell input'!$C$18*'1a. Spredningsmodell input'!$C$17*'1a. Spredningsmodell input'!$C$16*1000*'1a. Spredningsmodell input'!$C$12)</f>
        <v>#VALUE!</v>
      </c>
      <c r="G67" s="328" t="e">
        <f>C67/Stoff!$F67</f>
        <v>#DIV/0!</v>
      </c>
      <c r="H67" s="328" t="e">
        <f>D67/Stoff!$F67</f>
        <v>#VALUE!</v>
      </c>
      <c r="I67" s="328" t="e">
        <f>E67/Stoff!$F67</f>
        <v>#VALUE!</v>
      </c>
      <c r="J67" s="328" t="e">
        <f>F67/Stoff!$F67</f>
        <v>#VALUE!</v>
      </c>
      <c r="K67" s="328" t="e">
        <f>IF(G67&lt;1,0,-LN((Stoff!$F67*('1a. Spredningsmodell input'!$C$18*'1a. Spredningsmodell input'!$C$17*'1a. Spredningsmodell input'!$C$16*1000*'1a. Spredningsmodell input'!$C$12)/1000000)/(Mellomregninger!$D67-Stoff!$P67*Mellomregninger!$D67))/(Mellomregninger!$F67+Stoff!$L67*365))</f>
        <v>#DIV/0!</v>
      </c>
    </row>
    <row r="68" spans="1:11" x14ac:dyDescent="0.35">
      <c r="A68" s="239" t="s">
        <v>142</v>
      </c>
      <c r="B68" s="320" t="str">
        <f>Mellomregninger!D68</f>
        <v/>
      </c>
      <c r="C68" s="318" t="e">
        <f>'1b. Kons. umettet jord'!E68</f>
        <v>#DIV/0!</v>
      </c>
      <c r="D68" s="318" t="e">
        <f>(Mellomregninger!AU68+Mellomregninger!AV68)*1000000/('1a. Spredningsmodell input'!$C$18*'1a. Spredningsmodell input'!$C$17*'1a. Spredningsmodell input'!$C$16*1000*'1a. Spredningsmodell input'!$C$12)</f>
        <v>#VALUE!</v>
      </c>
      <c r="E68" s="318" t="e">
        <f>(Mellomregninger!BG68+Mellomregninger!BH68)*1000000/('1a. Spredningsmodell input'!$C$18*'1a. Spredningsmodell input'!$C$17*'1a. Spredningsmodell input'!$C$16*1000*'1a. Spredningsmodell input'!$C$12)</f>
        <v>#VALUE!</v>
      </c>
      <c r="F68" s="318" t="e">
        <f>(Mellomregninger!BS68+Mellomregninger!BT68)*1000000/('1a. Spredningsmodell input'!$C$18*'1a. Spredningsmodell input'!$C$17*'1a. Spredningsmodell input'!$C$16*1000*'1a. Spredningsmodell input'!$C$12)</f>
        <v>#VALUE!</v>
      </c>
      <c r="G68" s="328" t="e">
        <f>C68/Stoff!$F68</f>
        <v>#DIV/0!</v>
      </c>
      <c r="H68" s="328" t="e">
        <f>D68/Stoff!$F68</f>
        <v>#VALUE!</v>
      </c>
      <c r="I68" s="328" t="e">
        <f>E68/Stoff!$F68</f>
        <v>#VALUE!</v>
      </c>
      <c r="J68" s="328" t="e">
        <f>F68/Stoff!$F68</f>
        <v>#VALUE!</v>
      </c>
      <c r="K68" s="328" t="e">
        <f>IF(G68&lt;1,0,-LN((Stoff!$F68*('1a. Spredningsmodell input'!$C$18*'1a. Spredningsmodell input'!$C$17*'1a. Spredningsmodell input'!$C$16*1000*'1a. Spredningsmodell input'!$C$12)/1000000)/(Mellomregninger!$D68-Stoff!$P68*Mellomregninger!$D68))/(Mellomregninger!$F68+Stoff!$L68*365))</f>
        <v>#DIV/0!</v>
      </c>
    </row>
    <row r="69" spans="1:11" x14ac:dyDescent="0.35">
      <c r="A69" s="239" t="s">
        <v>141</v>
      </c>
      <c r="B69" s="320" t="str">
        <f>Mellomregninger!D69</f>
        <v/>
      </c>
      <c r="C69" s="318" t="e">
        <f>'1b. Kons. umettet jord'!E69</f>
        <v>#DIV/0!</v>
      </c>
      <c r="D69" s="318" t="e">
        <f>(Mellomregninger!AU69+Mellomregninger!AV69)*1000000/('1a. Spredningsmodell input'!$C$18*'1a. Spredningsmodell input'!$C$17*'1a. Spredningsmodell input'!$C$16*1000*'1a. Spredningsmodell input'!$C$12)</f>
        <v>#VALUE!</v>
      </c>
      <c r="E69" s="318" t="e">
        <f>(Mellomregninger!BG69+Mellomregninger!BH69)*1000000/('1a. Spredningsmodell input'!$C$18*'1a. Spredningsmodell input'!$C$17*'1a. Spredningsmodell input'!$C$16*1000*'1a. Spredningsmodell input'!$C$12)</f>
        <v>#VALUE!</v>
      </c>
      <c r="F69" s="318" t="e">
        <f>(Mellomregninger!BS69+Mellomregninger!BT69)*1000000/('1a. Spredningsmodell input'!$C$18*'1a. Spredningsmodell input'!$C$17*'1a. Spredningsmodell input'!$C$16*1000*'1a. Spredningsmodell input'!$C$12)</f>
        <v>#VALUE!</v>
      </c>
      <c r="G69" s="328" t="e">
        <f>C69/Stoff!$F69</f>
        <v>#DIV/0!</v>
      </c>
      <c r="H69" s="328" t="e">
        <f>D69/Stoff!$F69</f>
        <v>#VALUE!</v>
      </c>
      <c r="I69" s="328" t="e">
        <f>E69/Stoff!$F69</f>
        <v>#VALUE!</v>
      </c>
      <c r="J69" s="328" t="e">
        <f>F69/Stoff!$F69</f>
        <v>#VALUE!</v>
      </c>
      <c r="K69" s="328" t="e">
        <f>IF(G69&lt;1,0,-LN((Stoff!$F69*('1a. Spredningsmodell input'!$C$18*'1a. Spredningsmodell input'!$C$17*'1a. Spredningsmodell input'!$C$16*1000*'1a. Spredningsmodell input'!$C$12)/1000000)/(Mellomregninger!$D69-Stoff!$P69*Mellomregninger!$D69))/(Mellomregninger!$F69+Stoff!$L69*365))</f>
        <v>#DIV/0!</v>
      </c>
    </row>
    <row r="70" spans="1:11" x14ac:dyDescent="0.35">
      <c r="A70" s="239" t="s">
        <v>140</v>
      </c>
      <c r="B70" s="320" t="str">
        <f>Mellomregninger!D70</f>
        <v/>
      </c>
      <c r="C70" s="318" t="e">
        <f>'1b. Kons. umettet jord'!E70</f>
        <v>#DIV/0!</v>
      </c>
      <c r="D70" s="318" t="e">
        <f>(Mellomregninger!AU70+Mellomregninger!AV70)*1000000/('1a. Spredningsmodell input'!$C$18*'1a. Spredningsmodell input'!$C$17*'1a. Spredningsmodell input'!$C$16*1000*'1a. Spredningsmodell input'!$C$12)</f>
        <v>#VALUE!</v>
      </c>
      <c r="E70" s="318" t="e">
        <f>(Mellomregninger!BG70+Mellomregninger!BH70)*1000000/('1a. Spredningsmodell input'!$C$18*'1a. Spredningsmodell input'!$C$17*'1a. Spredningsmodell input'!$C$16*1000*'1a. Spredningsmodell input'!$C$12)</f>
        <v>#VALUE!</v>
      </c>
      <c r="F70" s="318" t="e">
        <f>(Mellomregninger!BS70+Mellomregninger!BT70)*1000000/('1a. Spredningsmodell input'!$C$18*'1a. Spredningsmodell input'!$C$17*'1a. Spredningsmodell input'!$C$16*1000*'1a. Spredningsmodell input'!$C$12)</f>
        <v>#VALUE!</v>
      </c>
      <c r="G70" s="328" t="e">
        <f>C70/Stoff!$F70</f>
        <v>#DIV/0!</v>
      </c>
      <c r="H70" s="328" t="e">
        <f>D70/Stoff!$F70</f>
        <v>#VALUE!</v>
      </c>
      <c r="I70" s="328" t="e">
        <f>E70/Stoff!$F70</f>
        <v>#VALUE!</v>
      </c>
      <c r="J70" s="328" t="e">
        <f>F70/Stoff!$F70</f>
        <v>#VALUE!</v>
      </c>
      <c r="K70" s="328" t="e">
        <f>IF(G70&lt;1,0,-LN((Stoff!$F70*('1a. Spredningsmodell input'!$C$18*'1a. Spredningsmodell input'!$C$17*'1a. Spredningsmodell input'!$C$16*1000*'1a. Spredningsmodell input'!$C$12)/1000000)/(Mellomregninger!$D70-Stoff!$P70*Mellomregninger!$D70))/(Mellomregninger!$F70+Stoff!$L70*365))</f>
        <v>#DIV/0!</v>
      </c>
    </row>
    <row r="71" spans="1:11" x14ac:dyDescent="0.35">
      <c r="A71" s="239" t="s">
        <v>139</v>
      </c>
      <c r="B71" s="320" t="str">
        <f>Mellomregninger!D71</f>
        <v/>
      </c>
      <c r="C71" s="318" t="e">
        <f>'1b. Kons. umettet jord'!E71</f>
        <v>#DIV/0!</v>
      </c>
      <c r="D71" s="318" t="e">
        <f>(Mellomregninger!AU71+Mellomregninger!AV71)*1000000/('1a. Spredningsmodell input'!$C$18*'1a. Spredningsmodell input'!$C$17*'1a. Spredningsmodell input'!$C$16*1000*'1a. Spredningsmodell input'!$C$12)</f>
        <v>#VALUE!</v>
      </c>
      <c r="E71" s="318" t="e">
        <f>(Mellomregninger!BG71+Mellomregninger!BH71)*1000000/('1a. Spredningsmodell input'!$C$18*'1a. Spredningsmodell input'!$C$17*'1a. Spredningsmodell input'!$C$16*1000*'1a. Spredningsmodell input'!$C$12)</f>
        <v>#VALUE!</v>
      </c>
      <c r="F71" s="318" t="e">
        <f>(Mellomregninger!BS71+Mellomregninger!BT71)*1000000/('1a. Spredningsmodell input'!$C$18*'1a. Spredningsmodell input'!$C$17*'1a. Spredningsmodell input'!$C$16*1000*'1a. Spredningsmodell input'!$C$12)</f>
        <v>#VALUE!</v>
      </c>
      <c r="G71" s="328" t="e">
        <f>C71/Stoff!$F71</f>
        <v>#DIV/0!</v>
      </c>
      <c r="H71" s="328" t="e">
        <f>D71/Stoff!$F71</f>
        <v>#VALUE!</v>
      </c>
      <c r="I71" s="328" t="e">
        <f>E71/Stoff!$F71</f>
        <v>#VALUE!</v>
      </c>
      <c r="J71" s="328" t="e">
        <f>F71/Stoff!$F71</f>
        <v>#VALUE!</v>
      </c>
      <c r="K71" s="328" t="e">
        <f>IF(G71&lt;1,0,-LN((Stoff!$F71*('1a. Spredningsmodell input'!$C$18*'1a. Spredningsmodell input'!$C$17*'1a. Spredningsmodell input'!$C$16*1000*'1a. Spredningsmodell input'!$C$12)/1000000)/(Mellomregninger!$D71-Stoff!$P71*Mellomregninger!$D71))/(Mellomregninger!$F71+Stoff!$L71*365))</f>
        <v>#DIV/0!</v>
      </c>
    </row>
    <row r="72" spans="1:11" x14ac:dyDescent="0.35">
      <c r="A72" s="239" t="s">
        <v>138</v>
      </c>
      <c r="B72" s="320" t="str">
        <f>Mellomregninger!D72</f>
        <v/>
      </c>
      <c r="C72" s="318" t="e">
        <f>'1b. Kons. umettet jord'!E72</f>
        <v>#DIV/0!</v>
      </c>
      <c r="D72" s="318" t="e">
        <f>(Mellomregninger!AU72+Mellomregninger!AV72)*1000000/('1a. Spredningsmodell input'!$C$18*'1a. Spredningsmodell input'!$C$17*'1a. Spredningsmodell input'!$C$16*1000*'1a. Spredningsmodell input'!$C$12)</f>
        <v>#VALUE!</v>
      </c>
      <c r="E72" s="318" t="e">
        <f>(Mellomregninger!BG72+Mellomregninger!BH72)*1000000/('1a. Spredningsmodell input'!$C$18*'1a. Spredningsmodell input'!$C$17*'1a. Spredningsmodell input'!$C$16*1000*'1a. Spredningsmodell input'!$C$12)</f>
        <v>#VALUE!</v>
      </c>
      <c r="F72" s="318" t="e">
        <f>(Mellomregninger!BS72+Mellomregninger!BT72)*1000000/('1a. Spredningsmodell input'!$C$18*'1a. Spredningsmodell input'!$C$17*'1a. Spredningsmodell input'!$C$16*1000*'1a. Spredningsmodell input'!$C$12)</f>
        <v>#VALUE!</v>
      </c>
      <c r="G72" s="328" t="e">
        <f>C72/Stoff!$F72</f>
        <v>#DIV/0!</v>
      </c>
      <c r="H72" s="328" t="e">
        <f>D72/Stoff!$F72</f>
        <v>#VALUE!</v>
      </c>
      <c r="I72" s="328" t="e">
        <f>E72/Stoff!$F72</f>
        <v>#VALUE!</v>
      </c>
      <c r="J72" s="328" t="e">
        <f>F72/Stoff!$F72</f>
        <v>#VALUE!</v>
      </c>
      <c r="K72" s="328" t="e">
        <f>IF(G72&lt;1,0,-LN((Stoff!$F72*('1a. Spredningsmodell input'!$C$18*'1a. Spredningsmodell input'!$C$17*'1a. Spredningsmodell input'!$C$16*1000*'1a. Spredningsmodell input'!$C$12)/1000000)/(Mellomregninger!$D72-Stoff!$P72*Mellomregninger!$D72))/(Mellomregninger!$F72+Stoff!$L72*365))</f>
        <v>#DIV/0!</v>
      </c>
    </row>
    <row r="73" spans="1:11" x14ac:dyDescent="0.35">
      <c r="A73" s="239" t="s">
        <v>136</v>
      </c>
      <c r="B73" s="320" t="str">
        <f>Mellomregninger!D73</f>
        <v/>
      </c>
      <c r="C73" s="318" t="e">
        <f>'1b. Kons. umettet jord'!E73</f>
        <v>#DIV/0!</v>
      </c>
      <c r="D73" s="318" t="e">
        <f>(Mellomregninger!AU73+Mellomregninger!AV73)*1000000/('1a. Spredningsmodell input'!$C$18*'1a. Spredningsmodell input'!$C$17*'1a. Spredningsmodell input'!$C$16*1000*'1a. Spredningsmodell input'!$C$12)</f>
        <v>#VALUE!</v>
      </c>
      <c r="E73" s="318" t="e">
        <f>(Mellomregninger!BG73+Mellomregninger!BH73)*1000000/('1a. Spredningsmodell input'!$C$18*'1a. Spredningsmodell input'!$C$17*'1a. Spredningsmodell input'!$C$16*1000*'1a. Spredningsmodell input'!$C$12)</f>
        <v>#VALUE!</v>
      </c>
      <c r="F73" s="318" t="e">
        <f>(Mellomregninger!BS73+Mellomregninger!BT73)*1000000/('1a. Spredningsmodell input'!$C$18*'1a. Spredningsmodell input'!$C$17*'1a. Spredningsmodell input'!$C$16*1000*'1a. Spredningsmodell input'!$C$12)</f>
        <v>#VALUE!</v>
      </c>
      <c r="G73" s="328" t="e">
        <f>C73/Stoff!$F73</f>
        <v>#DIV/0!</v>
      </c>
      <c r="H73" s="328" t="e">
        <f>D73/Stoff!$F73</f>
        <v>#VALUE!</v>
      </c>
      <c r="I73" s="328" t="e">
        <f>E73/Stoff!$F73</f>
        <v>#VALUE!</v>
      </c>
      <c r="J73" s="328" t="e">
        <f>F73/Stoff!$F73</f>
        <v>#VALUE!</v>
      </c>
      <c r="K73" s="328" t="e">
        <f>IF(G73&lt;1,0,-LN((Stoff!$F73*('1a. Spredningsmodell input'!$C$18*'1a. Spredningsmodell input'!$C$17*'1a. Spredningsmodell input'!$C$16*1000*'1a. Spredningsmodell input'!$C$12)/1000000)/(Mellomregninger!$D73-Stoff!$P73*Mellomregninger!$D73))/(Mellomregninger!$F73+Stoff!$L73*365))</f>
        <v>#DIV/0!</v>
      </c>
    </row>
    <row r="74" spans="1:11" x14ac:dyDescent="0.35">
      <c r="A74" s="239" t="s">
        <v>135</v>
      </c>
      <c r="B74" s="320" t="str">
        <f>Mellomregninger!D74</f>
        <v/>
      </c>
      <c r="C74" s="318" t="e">
        <f>'1b. Kons. umettet jord'!E74</f>
        <v>#DIV/0!</v>
      </c>
      <c r="D74" s="318" t="e">
        <f>(Mellomregninger!AU74+Mellomregninger!AV74)*1000000/('1a. Spredningsmodell input'!$C$18*'1a. Spredningsmodell input'!$C$17*'1a. Spredningsmodell input'!$C$16*1000*'1a. Spredningsmodell input'!$C$12)</f>
        <v>#VALUE!</v>
      </c>
      <c r="E74" s="318" t="e">
        <f>(Mellomregninger!BG74+Mellomregninger!BH74)*1000000/('1a. Spredningsmodell input'!$C$18*'1a. Spredningsmodell input'!$C$17*'1a. Spredningsmodell input'!$C$16*1000*'1a. Spredningsmodell input'!$C$12)</f>
        <v>#VALUE!</v>
      </c>
      <c r="F74" s="318" t="e">
        <f>(Mellomregninger!BS74+Mellomregninger!BT74)*1000000/('1a. Spredningsmodell input'!$C$18*'1a. Spredningsmodell input'!$C$17*'1a. Spredningsmodell input'!$C$16*1000*'1a. Spredningsmodell input'!$C$12)</f>
        <v>#VALUE!</v>
      </c>
      <c r="G74" s="328" t="e">
        <f>C74/Stoff!$F74</f>
        <v>#DIV/0!</v>
      </c>
      <c r="H74" s="328" t="e">
        <f>D74/Stoff!$F74</f>
        <v>#VALUE!</v>
      </c>
      <c r="I74" s="328" t="e">
        <f>E74/Stoff!$F74</f>
        <v>#VALUE!</v>
      </c>
      <c r="J74" s="328" t="e">
        <f>F74/Stoff!$F74</f>
        <v>#VALUE!</v>
      </c>
      <c r="K74" s="328" t="e">
        <f>IF(G74&lt;1,0,-LN((Stoff!$F74*('1a. Spredningsmodell input'!$C$18*'1a. Spredningsmodell input'!$C$17*'1a. Spredningsmodell input'!$C$16*1000*'1a. Spredningsmodell input'!$C$12)/1000000)/(Mellomregninger!$D74-Stoff!$P74*Mellomregninger!$D74))/(Mellomregninger!$F74+Stoff!$L74*365))</f>
        <v>#DIV/0!</v>
      </c>
    </row>
    <row r="75" spans="1:11" x14ac:dyDescent="0.35">
      <c r="A75" s="239" t="s">
        <v>134</v>
      </c>
      <c r="B75" s="320" t="str">
        <f>Mellomregninger!D75</f>
        <v/>
      </c>
      <c r="C75" s="318" t="e">
        <f>'1b. Kons. umettet jord'!E75</f>
        <v>#DIV/0!</v>
      </c>
      <c r="D75" s="318" t="e">
        <f>(Mellomregninger!AU75+Mellomregninger!AV75)*1000000/('1a. Spredningsmodell input'!$C$18*'1a. Spredningsmodell input'!$C$17*'1a. Spredningsmodell input'!$C$16*1000*'1a. Spredningsmodell input'!$C$12)</f>
        <v>#VALUE!</v>
      </c>
      <c r="E75" s="318" t="e">
        <f>(Mellomregninger!BG75+Mellomregninger!BH75)*1000000/('1a. Spredningsmodell input'!$C$18*'1a. Spredningsmodell input'!$C$17*'1a. Spredningsmodell input'!$C$16*1000*'1a. Spredningsmodell input'!$C$12)</f>
        <v>#VALUE!</v>
      </c>
      <c r="F75" s="318" t="e">
        <f>(Mellomregninger!BS75+Mellomregninger!BT75)*1000000/('1a. Spredningsmodell input'!$C$18*'1a. Spredningsmodell input'!$C$17*'1a. Spredningsmodell input'!$C$16*1000*'1a. Spredningsmodell input'!$C$12)</f>
        <v>#VALUE!</v>
      </c>
      <c r="G75" s="328" t="e">
        <f>C75/Stoff!$F75</f>
        <v>#DIV/0!</v>
      </c>
      <c r="H75" s="328" t="e">
        <f>D75/Stoff!$F75</f>
        <v>#VALUE!</v>
      </c>
      <c r="I75" s="328" t="e">
        <f>E75/Stoff!$F75</f>
        <v>#VALUE!</v>
      </c>
      <c r="J75" s="328" t="e">
        <f>F75/Stoff!$F75</f>
        <v>#VALUE!</v>
      </c>
      <c r="K75" s="328" t="e">
        <f>IF(G75&lt;1,0,-LN((Stoff!$F75*('1a. Spredningsmodell input'!$C$18*'1a. Spredningsmodell input'!$C$17*'1a. Spredningsmodell input'!$C$16*1000*'1a. Spredningsmodell input'!$C$12)/1000000)/(Mellomregninger!$D75-Stoff!$P75*Mellomregninger!$D75))/(Mellomregninger!$F75+Stoff!$L75*365))</f>
        <v>#DIV/0!</v>
      </c>
    </row>
    <row r="76" spans="1:11" x14ac:dyDescent="0.35">
      <c r="A76" s="239" t="s">
        <v>133</v>
      </c>
      <c r="B76" s="320" t="str">
        <f>Mellomregninger!D76</f>
        <v/>
      </c>
      <c r="C76" s="318" t="e">
        <f>'1b. Kons. umettet jord'!E76</f>
        <v>#DIV/0!</v>
      </c>
      <c r="D76" s="318" t="e">
        <f>(Mellomregninger!AU76+Mellomregninger!AV76)*1000000/('1a. Spredningsmodell input'!$C$18*'1a. Spredningsmodell input'!$C$17*'1a. Spredningsmodell input'!$C$16*1000*'1a. Spredningsmodell input'!$C$12)</f>
        <v>#VALUE!</v>
      </c>
      <c r="E76" s="318" t="e">
        <f>(Mellomregninger!BG76+Mellomregninger!BH76)*1000000/('1a. Spredningsmodell input'!$C$18*'1a. Spredningsmodell input'!$C$17*'1a. Spredningsmodell input'!$C$16*1000*'1a. Spredningsmodell input'!$C$12)</f>
        <v>#VALUE!</v>
      </c>
      <c r="F76" s="318" t="e">
        <f>(Mellomregninger!BS76+Mellomregninger!BT76)*1000000/('1a. Spredningsmodell input'!$C$18*'1a. Spredningsmodell input'!$C$17*'1a. Spredningsmodell input'!$C$16*1000*'1a. Spredningsmodell input'!$C$12)</f>
        <v>#VALUE!</v>
      </c>
      <c r="G76" s="328" t="e">
        <f>C76/Stoff!$F76</f>
        <v>#DIV/0!</v>
      </c>
      <c r="H76" s="328" t="e">
        <f>D76/Stoff!$F76</f>
        <v>#VALUE!</v>
      </c>
      <c r="I76" s="328" t="e">
        <f>E76/Stoff!$F76</f>
        <v>#VALUE!</v>
      </c>
      <c r="J76" s="328" t="e">
        <f>F76/Stoff!$F76</f>
        <v>#VALUE!</v>
      </c>
      <c r="K76" s="328" t="e">
        <f>IF(G76&lt;1,0,-LN((Stoff!$F76*('1a. Spredningsmodell input'!$C$18*'1a. Spredningsmodell input'!$C$17*'1a. Spredningsmodell input'!$C$16*1000*'1a. Spredningsmodell input'!$C$12)/1000000)/(Mellomregninger!$D76-Stoff!$P76*Mellomregninger!$D76))/(Mellomregninger!$F76+Stoff!$L76*365))</f>
        <v>#DIV/0!</v>
      </c>
    </row>
    <row r="77" spans="1:11" x14ac:dyDescent="0.35">
      <c r="A77" s="239" t="s">
        <v>132</v>
      </c>
      <c r="B77" s="320" t="str">
        <f>Mellomregninger!D77</f>
        <v/>
      </c>
      <c r="C77" s="318" t="e">
        <f>'1b. Kons. umettet jord'!E77</f>
        <v>#DIV/0!</v>
      </c>
      <c r="D77" s="318" t="e">
        <f>(Mellomregninger!AU77+Mellomregninger!AV77)*1000000/('1a. Spredningsmodell input'!$C$18*'1a. Spredningsmodell input'!$C$17*'1a. Spredningsmodell input'!$C$16*1000*'1a. Spredningsmodell input'!$C$12)</f>
        <v>#VALUE!</v>
      </c>
      <c r="E77" s="318" t="e">
        <f>(Mellomregninger!BG77+Mellomregninger!BH77)*1000000/('1a. Spredningsmodell input'!$C$18*'1a. Spredningsmodell input'!$C$17*'1a. Spredningsmodell input'!$C$16*1000*'1a. Spredningsmodell input'!$C$12)</f>
        <v>#VALUE!</v>
      </c>
      <c r="F77" s="318" t="e">
        <f>(Mellomregninger!BS77+Mellomregninger!BT77)*1000000/('1a. Spredningsmodell input'!$C$18*'1a. Spredningsmodell input'!$C$17*'1a. Spredningsmodell input'!$C$16*1000*'1a. Spredningsmodell input'!$C$12)</f>
        <v>#VALUE!</v>
      </c>
      <c r="G77" s="328" t="e">
        <f>C77/Stoff!$F77</f>
        <v>#DIV/0!</v>
      </c>
      <c r="H77" s="328" t="e">
        <f>D77/Stoff!$F77</f>
        <v>#VALUE!</v>
      </c>
      <c r="I77" s="328" t="e">
        <f>E77/Stoff!$F77</f>
        <v>#VALUE!</v>
      </c>
      <c r="J77" s="328" t="e">
        <f>F77/Stoff!$F77</f>
        <v>#VALUE!</v>
      </c>
      <c r="K77" s="328" t="e">
        <f>IF(G77&lt;1,0,-LN((Stoff!$F77*('1a. Spredningsmodell input'!$C$18*'1a. Spredningsmodell input'!$C$17*'1a. Spredningsmodell input'!$C$16*1000*'1a. Spredningsmodell input'!$C$12)/1000000)/(Mellomregninger!$D77-Stoff!$P77*Mellomregninger!$D77))/(Mellomregninger!$F77+Stoff!$L77*365))</f>
        <v>#DIV/0!</v>
      </c>
    </row>
    <row r="78" spans="1:11" x14ac:dyDescent="0.35">
      <c r="A78" s="239" t="s">
        <v>131</v>
      </c>
      <c r="B78" s="320" t="str">
        <f>Mellomregninger!D78</f>
        <v/>
      </c>
      <c r="C78" s="318" t="e">
        <f>'1b. Kons. umettet jord'!E78</f>
        <v>#DIV/0!</v>
      </c>
      <c r="D78" s="318" t="e">
        <f>(Mellomregninger!AU78+Mellomregninger!AV78)*1000000/('1a. Spredningsmodell input'!$C$18*'1a. Spredningsmodell input'!$C$17*'1a. Spredningsmodell input'!$C$16*1000*'1a. Spredningsmodell input'!$C$12)</f>
        <v>#VALUE!</v>
      </c>
      <c r="E78" s="318" t="e">
        <f>(Mellomregninger!BG78+Mellomregninger!BH78)*1000000/('1a. Spredningsmodell input'!$C$18*'1a. Spredningsmodell input'!$C$17*'1a. Spredningsmodell input'!$C$16*1000*'1a. Spredningsmodell input'!$C$12)</f>
        <v>#VALUE!</v>
      </c>
      <c r="F78" s="318" t="e">
        <f>(Mellomregninger!BS78+Mellomregninger!BT78)*1000000/('1a. Spredningsmodell input'!$C$18*'1a. Spredningsmodell input'!$C$17*'1a. Spredningsmodell input'!$C$16*1000*'1a. Spredningsmodell input'!$C$12)</f>
        <v>#VALUE!</v>
      </c>
      <c r="G78" s="328" t="e">
        <f>C78/Stoff!$F78</f>
        <v>#DIV/0!</v>
      </c>
      <c r="H78" s="328" t="e">
        <f>D78/Stoff!$F78</f>
        <v>#VALUE!</v>
      </c>
      <c r="I78" s="328" t="e">
        <f>E78/Stoff!$F78</f>
        <v>#VALUE!</v>
      </c>
      <c r="J78" s="328" t="e">
        <f>F78/Stoff!$F78</f>
        <v>#VALUE!</v>
      </c>
      <c r="K78" s="328" t="e">
        <f>IF(G78&lt;1,0,-LN((Stoff!$F78*('1a. Spredningsmodell input'!$C$18*'1a. Spredningsmodell input'!$C$17*'1a. Spredningsmodell input'!$C$16*1000*'1a. Spredningsmodell input'!$C$12)/1000000)/(Mellomregninger!$D78-Stoff!$P78*Mellomregninger!$D78))/(Mellomregninger!$F78+Stoff!$L78*365))</f>
        <v>#DIV/0!</v>
      </c>
    </row>
    <row r="79" spans="1:11" x14ac:dyDescent="0.35">
      <c r="A79" s="239" t="s">
        <v>130</v>
      </c>
      <c r="B79" s="320" t="str">
        <f>Mellomregninger!D79</f>
        <v/>
      </c>
      <c r="C79" s="318" t="e">
        <f>'1b. Kons. umettet jord'!E79</f>
        <v>#DIV/0!</v>
      </c>
      <c r="D79" s="318" t="e">
        <f>(Mellomregninger!AU79+Mellomregninger!AV79)*1000000/('1a. Spredningsmodell input'!$C$18*'1a. Spredningsmodell input'!$C$17*'1a. Spredningsmodell input'!$C$16*1000*'1a. Spredningsmodell input'!$C$12)</f>
        <v>#VALUE!</v>
      </c>
      <c r="E79" s="318" t="e">
        <f>(Mellomregninger!BG79+Mellomregninger!BH79)*1000000/('1a. Spredningsmodell input'!$C$18*'1a. Spredningsmodell input'!$C$17*'1a. Spredningsmodell input'!$C$16*1000*'1a. Spredningsmodell input'!$C$12)</f>
        <v>#VALUE!</v>
      </c>
      <c r="F79" s="318" t="e">
        <f>(Mellomregninger!BS79+Mellomregninger!BT79)*1000000/('1a. Spredningsmodell input'!$C$18*'1a. Spredningsmodell input'!$C$17*'1a. Spredningsmodell input'!$C$16*1000*'1a. Spredningsmodell input'!$C$12)</f>
        <v>#VALUE!</v>
      </c>
      <c r="G79" s="328" t="e">
        <f>C79/Stoff!$F79</f>
        <v>#DIV/0!</v>
      </c>
      <c r="H79" s="328" t="e">
        <f>D79/Stoff!$F79</f>
        <v>#VALUE!</v>
      </c>
      <c r="I79" s="328" t="e">
        <f>E79/Stoff!$F79</f>
        <v>#VALUE!</v>
      </c>
      <c r="J79" s="328" t="e">
        <f>F79/Stoff!$F79</f>
        <v>#VALUE!</v>
      </c>
      <c r="K79" s="328" t="e">
        <f>IF(G79&lt;1,0,-LN((Stoff!$F79*('1a. Spredningsmodell input'!$C$18*'1a. Spredningsmodell input'!$C$17*'1a. Spredningsmodell input'!$C$16*1000*'1a. Spredningsmodell input'!$C$12)/1000000)/(Mellomregninger!$D79-Stoff!$P79*Mellomregninger!$D79))/(Mellomregninger!$F79+Stoff!$L79*365))</f>
        <v>#DIV/0!</v>
      </c>
    </row>
    <row r="80" spans="1:11" x14ac:dyDescent="0.35">
      <c r="A80" s="239" t="s">
        <v>129</v>
      </c>
      <c r="B80" s="320" t="str">
        <f>Mellomregninger!D80</f>
        <v/>
      </c>
      <c r="C80" s="318" t="e">
        <f>'1b. Kons. umettet jord'!E80</f>
        <v>#DIV/0!</v>
      </c>
      <c r="D80" s="318" t="e">
        <f>(Mellomregninger!AU80+Mellomregninger!AV80)*1000000/('1a. Spredningsmodell input'!$C$18*'1a. Spredningsmodell input'!$C$17*'1a. Spredningsmodell input'!$C$16*1000*'1a. Spredningsmodell input'!$C$12)</f>
        <v>#VALUE!</v>
      </c>
      <c r="E80" s="318" t="e">
        <f>(Mellomregninger!BG80+Mellomregninger!BH80)*1000000/('1a. Spredningsmodell input'!$C$18*'1a. Spredningsmodell input'!$C$17*'1a. Spredningsmodell input'!$C$16*1000*'1a. Spredningsmodell input'!$C$12)</f>
        <v>#VALUE!</v>
      </c>
      <c r="F80" s="318" t="e">
        <f>(Mellomregninger!BS80+Mellomregninger!BT80)*1000000/('1a. Spredningsmodell input'!$C$18*'1a. Spredningsmodell input'!$C$17*'1a. Spredningsmodell input'!$C$16*1000*'1a. Spredningsmodell input'!$C$12)</f>
        <v>#VALUE!</v>
      </c>
      <c r="G80" s="328" t="e">
        <f>C80/Stoff!$F80</f>
        <v>#DIV/0!</v>
      </c>
      <c r="H80" s="328" t="e">
        <f>D80/Stoff!$F80</f>
        <v>#VALUE!</v>
      </c>
      <c r="I80" s="328" t="e">
        <f>E80/Stoff!$F80</f>
        <v>#VALUE!</v>
      </c>
      <c r="J80" s="328" t="e">
        <f>F80/Stoff!$F80</f>
        <v>#VALUE!</v>
      </c>
      <c r="K80" s="328" t="e">
        <f>IF(G80&lt;1,0,-LN((Stoff!$F80*('1a. Spredningsmodell input'!$C$18*'1a. Spredningsmodell input'!$C$17*'1a. Spredningsmodell input'!$C$16*1000*'1a. Spredningsmodell input'!$C$12)/1000000)/(Mellomregninger!$D80-Stoff!$P80*Mellomregninger!$D80))/(Mellomregninger!$F80+Stoff!$L80*365))</f>
        <v>#DIV/0!</v>
      </c>
    </row>
    <row r="81" spans="1:11" x14ac:dyDescent="0.35">
      <c r="A81" s="239" t="s">
        <v>128</v>
      </c>
      <c r="B81" s="320" t="str">
        <f>Mellomregninger!D81</f>
        <v/>
      </c>
      <c r="C81" s="318" t="e">
        <f>'1b. Kons. umettet jord'!E81</f>
        <v>#DIV/0!</v>
      </c>
      <c r="D81" s="318" t="e">
        <f>(Mellomregninger!AU81+Mellomregninger!AV81)*1000000/('1a. Spredningsmodell input'!$C$18*'1a. Spredningsmodell input'!$C$17*'1a. Spredningsmodell input'!$C$16*1000*'1a. Spredningsmodell input'!$C$12)</f>
        <v>#VALUE!</v>
      </c>
      <c r="E81" s="318" t="e">
        <f>(Mellomregninger!BG81+Mellomregninger!BH81)*1000000/('1a. Spredningsmodell input'!$C$18*'1a. Spredningsmodell input'!$C$17*'1a. Spredningsmodell input'!$C$16*1000*'1a. Spredningsmodell input'!$C$12)</f>
        <v>#VALUE!</v>
      </c>
      <c r="F81" s="318" t="e">
        <f>(Mellomregninger!BS81+Mellomregninger!BT81)*1000000/('1a. Spredningsmodell input'!$C$18*'1a. Spredningsmodell input'!$C$17*'1a. Spredningsmodell input'!$C$16*1000*'1a. Spredningsmodell input'!$C$12)</f>
        <v>#VALUE!</v>
      </c>
      <c r="G81" s="328" t="e">
        <f>C81/Stoff!$F81</f>
        <v>#DIV/0!</v>
      </c>
      <c r="H81" s="328" t="e">
        <f>D81/Stoff!$F81</f>
        <v>#VALUE!</v>
      </c>
      <c r="I81" s="328" t="e">
        <f>E81/Stoff!$F81</f>
        <v>#VALUE!</v>
      </c>
      <c r="J81" s="328" t="e">
        <f>F81/Stoff!$F81</f>
        <v>#VALUE!</v>
      </c>
      <c r="K81" s="328" t="e">
        <f>IF(G81&lt;1,0,-LN((Stoff!$F81*('1a. Spredningsmodell input'!$C$18*'1a. Spredningsmodell input'!$C$17*'1a. Spredningsmodell input'!$C$16*1000*'1a. Spredningsmodell input'!$C$12)/1000000)/(Mellomregninger!$D81-Stoff!$P81*Mellomregninger!$D81))/(Mellomregninger!$F81+Stoff!$L81*365))</f>
        <v>#DIV/0!</v>
      </c>
    </row>
    <row r="82" spans="1:11" x14ac:dyDescent="0.35">
      <c r="A82" s="239" t="s">
        <v>127</v>
      </c>
      <c r="B82" s="320" t="str">
        <f>Mellomregninger!D82</f>
        <v/>
      </c>
      <c r="C82" s="318" t="e">
        <f>'1b. Kons. umettet jord'!E82</f>
        <v>#DIV/0!</v>
      </c>
      <c r="D82" s="318" t="e">
        <f>(Mellomregninger!AU82+Mellomregninger!AV82)*1000000/('1a. Spredningsmodell input'!$C$18*'1a. Spredningsmodell input'!$C$17*'1a. Spredningsmodell input'!$C$16*1000*'1a. Spredningsmodell input'!$C$12)</f>
        <v>#VALUE!</v>
      </c>
      <c r="E82" s="318" t="e">
        <f>(Mellomregninger!BG82+Mellomregninger!BH82)*1000000/('1a. Spredningsmodell input'!$C$18*'1a. Spredningsmodell input'!$C$17*'1a. Spredningsmodell input'!$C$16*1000*'1a. Spredningsmodell input'!$C$12)</f>
        <v>#VALUE!</v>
      </c>
      <c r="F82" s="318" t="e">
        <f>(Mellomregninger!BS82+Mellomregninger!BT82)*1000000/('1a. Spredningsmodell input'!$C$18*'1a. Spredningsmodell input'!$C$17*'1a. Spredningsmodell input'!$C$16*1000*'1a. Spredningsmodell input'!$C$12)</f>
        <v>#VALUE!</v>
      </c>
      <c r="G82" s="328" t="e">
        <f>C82/Stoff!$F82</f>
        <v>#DIV/0!</v>
      </c>
      <c r="H82" s="328" t="e">
        <f>D82/Stoff!$F82</f>
        <v>#VALUE!</v>
      </c>
      <c r="I82" s="328" t="e">
        <f>E82/Stoff!$F82</f>
        <v>#VALUE!</v>
      </c>
      <c r="J82" s="328" t="e">
        <f>F82/Stoff!$F82</f>
        <v>#VALUE!</v>
      </c>
      <c r="K82" s="328" t="e">
        <f>IF(G82&lt;1,0,-LN((Stoff!$F82*('1a. Spredningsmodell input'!$C$18*'1a. Spredningsmodell input'!$C$17*'1a. Spredningsmodell input'!$C$16*1000*'1a. Spredningsmodell input'!$C$12)/1000000)/(Mellomregninger!$D82-Stoff!$P82*Mellomregninger!$D82))/(Mellomregninger!$F82+Stoff!$L82*365))</f>
        <v>#DIV/0!</v>
      </c>
    </row>
    <row r="83" spans="1:11" x14ac:dyDescent="0.35">
      <c r="A83" s="239" t="s">
        <v>126</v>
      </c>
      <c r="B83" s="320" t="str">
        <f>Mellomregninger!D83</f>
        <v/>
      </c>
      <c r="C83" s="318" t="e">
        <f>'1b. Kons. umettet jord'!E83</f>
        <v>#DIV/0!</v>
      </c>
      <c r="D83" s="318" t="e">
        <f>(Mellomregninger!AU83+Mellomregninger!AV83)*1000000/('1a. Spredningsmodell input'!$C$18*'1a. Spredningsmodell input'!$C$17*'1a. Spredningsmodell input'!$C$16*1000*'1a. Spredningsmodell input'!$C$12)</f>
        <v>#VALUE!</v>
      </c>
      <c r="E83" s="318" t="e">
        <f>(Mellomregninger!BG83+Mellomregninger!BH83)*1000000/('1a. Spredningsmodell input'!$C$18*'1a. Spredningsmodell input'!$C$17*'1a. Spredningsmodell input'!$C$16*1000*'1a. Spredningsmodell input'!$C$12)</f>
        <v>#VALUE!</v>
      </c>
      <c r="F83" s="318" t="e">
        <f>(Mellomregninger!BS83+Mellomregninger!BT83)*1000000/('1a. Spredningsmodell input'!$C$18*'1a. Spredningsmodell input'!$C$17*'1a. Spredningsmodell input'!$C$16*1000*'1a. Spredningsmodell input'!$C$12)</f>
        <v>#VALUE!</v>
      </c>
      <c r="G83" s="328" t="e">
        <f>C83/Stoff!$F83</f>
        <v>#DIV/0!</v>
      </c>
      <c r="H83" s="328" t="e">
        <f>D83/Stoff!$F83</f>
        <v>#VALUE!</v>
      </c>
      <c r="I83" s="328" t="e">
        <f>E83/Stoff!$F83</f>
        <v>#VALUE!</v>
      </c>
      <c r="J83" s="328" t="e">
        <f>F83/Stoff!$F83</f>
        <v>#VALUE!</v>
      </c>
      <c r="K83" s="328" t="e">
        <f>IF(G83&lt;1,0,-LN((Stoff!$F83*('1a. Spredningsmodell input'!$C$18*'1a. Spredningsmodell input'!$C$17*'1a. Spredningsmodell input'!$C$16*1000*'1a. Spredningsmodell input'!$C$12)/1000000)/(Mellomregninger!$D83-Stoff!$P83*Mellomregninger!$D83))/(Mellomregninger!$F83+Stoff!$L83*365))</f>
        <v>#DIV/0!</v>
      </c>
    </row>
    <row r="84" spans="1:11" x14ac:dyDescent="0.35">
      <c r="A84" s="239" t="s">
        <v>125</v>
      </c>
      <c r="B84" s="320" t="str">
        <f>Mellomregninger!D84</f>
        <v/>
      </c>
      <c r="C84" s="318" t="e">
        <f>'1b. Kons. umettet jord'!E84</f>
        <v>#DIV/0!</v>
      </c>
      <c r="D84" s="318" t="e">
        <f>(Mellomregninger!AU84+Mellomregninger!AV84)*1000000/('1a. Spredningsmodell input'!$C$18*'1a. Spredningsmodell input'!$C$17*'1a. Spredningsmodell input'!$C$16*1000*'1a. Spredningsmodell input'!$C$12)</f>
        <v>#VALUE!</v>
      </c>
      <c r="E84" s="318" t="e">
        <f>(Mellomregninger!BG84+Mellomregninger!BH84)*1000000/('1a. Spredningsmodell input'!$C$18*'1a. Spredningsmodell input'!$C$17*'1a. Spredningsmodell input'!$C$16*1000*'1a. Spredningsmodell input'!$C$12)</f>
        <v>#VALUE!</v>
      </c>
      <c r="F84" s="318" t="e">
        <f>(Mellomregninger!BS84+Mellomregninger!BT84)*1000000/('1a. Spredningsmodell input'!$C$18*'1a. Spredningsmodell input'!$C$17*'1a. Spredningsmodell input'!$C$16*1000*'1a. Spredningsmodell input'!$C$12)</f>
        <v>#VALUE!</v>
      </c>
      <c r="G84" s="328" t="e">
        <f>C84/Stoff!$F84</f>
        <v>#DIV/0!</v>
      </c>
      <c r="H84" s="328" t="e">
        <f>D84/Stoff!$F84</f>
        <v>#VALUE!</v>
      </c>
      <c r="I84" s="328" t="e">
        <f>E84/Stoff!$F84</f>
        <v>#VALUE!</v>
      </c>
      <c r="J84" s="328" t="e">
        <f>F84/Stoff!$F84</f>
        <v>#VALUE!</v>
      </c>
      <c r="K84" s="328" t="e">
        <f>IF(G84&lt;1,0,-LN((Stoff!$F84*('1a. Spredningsmodell input'!$C$18*'1a. Spredningsmodell input'!$C$17*'1a. Spredningsmodell input'!$C$16*1000*'1a. Spredningsmodell input'!$C$12)/1000000)/(Mellomregninger!$D84-Stoff!$P84*Mellomregninger!$D84))/(Mellomregninger!$F84+Stoff!$L84*365))</f>
        <v>#DIV/0!</v>
      </c>
    </row>
    <row r="85" spans="1:11" x14ac:dyDescent="0.35">
      <c r="A85" s="239" t="s">
        <v>124</v>
      </c>
      <c r="B85" s="320" t="str">
        <f>Mellomregninger!D85</f>
        <v/>
      </c>
      <c r="C85" s="318" t="e">
        <f>'1b. Kons. umettet jord'!E85</f>
        <v>#DIV/0!</v>
      </c>
      <c r="D85" s="318" t="e">
        <f>(Mellomregninger!AU85+Mellomregninger!AV85)*1000000/('1a. Spredningsmodell input'!$C$18*'1a. Spredningsmodell input'!$C$17*'1a. Spredningsmodell input'!$C$16*1000*'1a. Spredningsmodell input'!$C$12)</f>
        <v>#VALUE!</v>
      </c>
      <c r="E85" s="318" t="e">
        <f>(Mellomregninger!BG85+Mellomregninger!BH85)*1000000/('1a. Spredningsmodell input'!$C$18*'1a. Spredningsmodell input'!$C$17*'1a. Spredningsmodell input'!$C$16*1000*'1a. Spredningsmodell input'!$C$12)</f>
        <v>#VALUE!</v>
      </c>
      <c r="F85" s="318" t="e">
        <f>(Mellomregninger!BS85+Mellomregninger!BT85)*1000000/('1a. Spredningsmodell input'!$C$18*'1a. Spredningsmodell input'!$C$17*'1a. Spredningsmodell input'!$C$16*1000*'1a. Spredningsmodell input'!$C$12)</f>
        <v>#VALUE!</v>
      </c>
      <c r="G85" s="328" t="e">
        <f>C85/Stoff!$F85</f>
        <v>#DIV/0!</v>
      </c>
      <c r="H85" s="328" t="e">
        <f>D85/Stoff!$F85</f>
        <v>#VALUE!</v>
      </c>
      <c r="I85" s="328" t="e">
        <f>E85/Stoff!$F85</f>
        <v>#VALUE!</v>
      </c>
      <c r="J85" s="328" t="e">
        <f>F85/Stoff!$F85</f>
        <v>#VALUE!</v>
      </c>
      <c r="K85" s="328" t="e">
        <f>IF(G85&lt;1,0,-LN((Stoff!$F85*('1a. Spredningsmodell input'!$C$18*'1a. Spredningsmodell input'!$C$17*'1a. Spredningsmodell input'!$C$16*1000*'1a. Spredningsmodell input'!$C$12)/1000000)/(Mellomregninger!$D85-Stoff!$P85*Mellomregninger!$D85))/(Mellomregninger!$F85+Stoff!$L85*365))</f>
        <v>#DIV/0!</v>
      </c>
    </row>
    <row r="86" spans="1:11" x14ac:dyDescent="0.35">
      <c r="A86" s="239" t="s">
        <v>123</v>
      </c>
      <c r="B86" s="320" t="str">
        <f>Mellomregninger!D86</f>
        <v/>
      </c>
      <c r="C86" s="318" t="e">
        <f>'1b. Kons. umettet jord'!E86</f>
        <v>#DIV/0!</v>
      </c>
      <c r="D86" s="318" t="e">
        <f>(Mellomregninger!AU86+Mellomregninger!AV86)*1000000/('1a. Spredningsmodell input'!$C$18*'1a. Spredningsmodell input'!$C$17*'1a. Spredningsmodell input'!$C$16*1000*'1a. Spredningsmodell input'!$C$12)</f>
        <v>#VALUE!</v>
      </c>
      <c r="E86" s="318" t="e">
        <f>(Mellomregninger!BG86+Mellomregninger!BH86)*1000000/('1a. Spredningsmodell input'!$C$18*'1a. Spredningsmodell input'!$C$17*'1a. Spredningsmodell input'!$C$16*1000*'1a. Spredningsmodell input'!$C$12)</f>
        <v>#VALUE!</v>
      </c>
      <c r="F86" s="318" t="e">
        <f>(Mellomregninger!BS86+Mellomregninger!BT86)*1000000/('1a. Spredningsmodell input'!$C$18*'1a. Spredningsmodell input'!$C$17*'1a. Spredningsmodell input'!$C$16*1000*'1a. Spredningsmodell input'!$C$12)</f>
        <v>#VALUE!</v>
      </c>
      <c r="G86" s="328" t="e">
        <f>C86/Stoff!$F86</f>
        <v>#DIV/0!</v>
      </c>
      <c r="H86" s="328" t="e">
        <f>D86/Stoff!$F86</f>
        <v>#VALUE!</v>
      </c>
      <c r="I86" s="328" t="e">
        <f>E86/Stoff!$F86</f>
        <v>#VALUE!</v>
      </c>
      <c r="J86" s="328" t="e">
        <f>F86/Stoff!$F86</f>
        <v>#VALUE!</v>
      </c>
      <c r="K86" s="328" t="e">
        <f>IF(G86&lt;1,0,-LN((Stoff!$F86*('1a. Spredningsmodell input'!$C$18*'1a. Spredningsmodell input'!$C$17*'1a. Spredningsmodell input'!$C$16*1000*'1a. Spredningsmodell input'!$C$12)/1000000)/(Mellomregninger!$D86-Stoff!$P86*Mellomregninger!$D86))/(Mellomregninger!$F86+Stoff!$L86*365))</f>
        <v>#DIV/0!</v>
      </c>
    </row>
    <row r="87" spans="1:11" x14ac:dyDescent="0.35">
      <c r="A87" s="301" t="str">
        <f>Stoff!A87</f>
        <v>nystoff 1</v>
      </c>
      <c r="B87" s="320" t="str">
        <f>Mellomregninger!D87</f>
        <v/>
      </c>
      <c r="C87" s="318" t="e">
        <f>'1b. Kons. umettet jord'!E87</f>
        <v>#DIV/0!</v>
      </c>
      <c r="D87" s="318" t="e">
        <f>(Mellomregninger!AU87+Mellomregninger!AV87)*1000000/('1a. Spredningsmodell input'!$C$18*'1a. Spredningsmodell input'!$C$17*'1a. Spredningsmodell input'!$C$16*1000*'1a. Spredningsmodell input'!$C$12)</f>
        <v>#VALUE!</v>
      </c>
      <c r="E87" s="318" t="e">
        <f>(Mellomregninger!BG87+Mellomregninger!BH87)*1000000/('1a. Spredningsmodell input'!$C$18*'1a. Spredningsmodell input'!$C$17*'1a. Spredningsmodell input'!$C$16*1000*'1a. Spredningsmodell input'!$C$12)</f>
        <v>#VALUE!</v>
      </c>
      <c r="F87" s="318" t="e">
        <f>(Mellomregninger!BS87+Mellomregninger!BT87)*1000000/('1a. Spredningsmodell input'!$C$18*'1a. Spredningsmodell input'!$C$17*'1a. Spredningsmodell input'!$C$16*1000*'1a. Spredningsmodell input'!$C$12)</f>
        <v>#VALUE!</v>
      </c>
      <c r="G87" s="328" t="e">
        <f>C87/Stoff!$F87</f>
        <v>#DIV/0!</v>
      </c>
      <c r="H87" s="328" t="e">
        <f>D87/Stoff!$F87</f>
        <v>#VALUE!</v>
      </c>
      <c r="I87" s="328" t="e">
        <f>E87/Stoff!$F87</f>
        <v>#VALUE!</v>
      </c>
      <c r="J87" s="328" t="e">
        <f>F87/Stoff!$F87</f>
        <v>#VALUE!</v>
      </c>
      <c r="K87" s="328" t="e">
        <f>IF(G87&lt;1,0,-LN((Stoff!$F87*('1a. Spredningsmodell input'!$C$18*'1a. Spredningsmodell input'!$C$17*'1a. Spredningsmodell input'!$C$16*1000*'1a. Spredningsmodell input'!$C$12)/1000000)/(Mellomregninger!$D87-Stoff!$P87*Mellomregninger!$D87))/(Mellomregninger!$F87+Stoff!$L87*365))</f>
        <v>#DIV/0!</v>
      </c>
    </row>
    <row r="88" spans="1:11" x14ac:dyDescent="0.35">
      <c r="A88" s="301" t="str">
        <f>Stoff!A88</f>
        <v>nystoff 2</v>
      </c>
      <c r="B88" s="320" t="str">
        <f>Mellomregninger!D88</f>
        <v/>
      </c>
      <c r="C88" s="318" t="e">
        <f>'1b. Kons. umettet jord'!E88</f>
        <v>#DIV/0!</v>
      </c>
      <c r="D88" s="318" t="e">
        <f>(Mellomregninger!AU88+Mellomregninger!AV88)*1000000/('1a. Spredningsmodell input'!$C$18*'1a. Spredningsmodell input'!$C$17*'1a. Spredningsmodell input'!$C$16*1000*'1a. Spredningsmodell input'!$C$12)</f>
        <v>#VALUE!</v>
      </c>
      <c r="E88" s="318" t="e">
        <f>(Mellomregninger!BG88+Mellomregninger!BH88)*1000000/('1a. Spredningsmodell input'!$C$18*'1a. Spredningsmodell input'!$C$17*'1a. Spredningsmodell input'!$C$16*1000*'1a. Spredningsmodell input'!$C$12)</f>
        <v>#VALUE!</v>
      </c>
      <c r="F88" s="318" t="e">
        <f>(Mellomregninger!BS88+Mellomregninger!BT88)*1000000/('1a. Spredningsmodell input'!$C$18*'1a. Spredningsmodell input'!$C$17*'1a. Spredningsmodell input'!$C$16*1000*'1a. Spredningsmodell input'!$C$12)</f>
        <v>#VALUE!</v>
      </c>
      <c r="G88" s="328" t="e">
        <f>C88/Stoff!$F88</f>
        <v>#DIV/0!</v>
      </c>
      <c r="H88" s="328" t="e">
        <f>D88/Stoff!$F88</f>
        <v>#VALUE!</v>
      </c>
      <c r="I88" s="328" t="e">
        <f>E88/Stoff!$F88</f>
        <v>#VALUE!</v>
      </c>
      <c r="J88" s="328" t="e">
        <f>F88/Stoff!$F88</f>
        <v>#VALUE!</v>
      </c>
      <c r="K88" s="328" t="e">
        <f>IF(G88&lt;1,0,-LN((Stoff!$F88*('1a. Spredningsmodell input'!$C$18*'1a. Spredningsmodell input'!$C$17*'1a. Spredningsmodell input'!$C$16*1000*'1a. Spredningsmodell input'!$C$12)/1000000)/(Mellomregninger!$D88-Stoff!$P88*Mellomregninger!$D88))/(Mellomregninger!$F88+Stoff!$L88*365))</f>
        <v>#DIV/0!</v>
      </c>
    </row>
    <row r="89" spans="1:11" x14ac:dyDescent="0.35">
      <c r="A89" s="301" t="str">
        <f>Stoff!A89</f>
        <v>nystoff 3</v>
      </c>
      <c r="B89" s="320" t="str">
        <f>Mellomregninger!D89</f>
        <v/>
      </c>
      <c r="C89" s="318" t="e">
        <f>'1b. Kons. umettet jord'!E89</f>
        <v>#DIV/0!</v>
      </c>
      <c r="D89" s="318" t="e">
        <f>(Mellomregninger!AU89+Mellomregninger!AV89)*1000000/('1a. Spredningsmodell input'!$C$18*'1a. Spredningsmodell input'!$C$17*'1a. Spredningsmodell input'!$C$16*1000*'1a. Spredningsmodell input'!$C$12)</f>
        <v>#VALUE!</v>
      </c>
      <c r="E89" s="318" t="e">
        <f>(Mellomregninger!BG89+Mellomregninger!BH89)*1000000/('1a. Spredningsmodell input'!$C$18*'1a. Spredningsmodell input'!$C$17*'1a. Spredningsmodell input'!$C$16*1000*'1a. Spredningsmodell input'!$C$12)</f>
        <v>#VALUE!</v>
      </c>
      <c r="F89" s="318" t="e">
        <f>(Mellomregninger!BS89+Mellomregninger!BT89)*1000000/('1a. Spredningsmodell input'!$C$18*'1a. Spredningsmodell input'!$C$17*'1a. Spredningsmodell input'!$C$16*1000*'1a. Spredningsmodell input'!$C$12)</f>
        <v>#VALUE!</v>
      </c>
      <c r="G89" s="328" t="e">
        <f>C89/Stoff!$F89</f>
        <v>#DIV/0!</v>
      </c>
      <c r="H89" s="328" t="e">
        <f>D89/Stoff!$F89</f>
        <v>#VALUE!</v>
      </c>
      <c r="I89" s="328" t="e">
        <f>E89/Stoff!$F89</f>
        <v>#VALUE!</v>
      </c>
      <c r="J89" s="328" t="e">
        <f>F89/Stoff!$F89</f>
        <v>#VALUE!</v>
      </c>
      <c r="K89" s="328" t="e">
        <f>IF(G89&lt;1,0,-LN((Stoff!$F89*('1a. Spredningsmodell input'!$C$18*'1a. Spredningsmodell input'!$C$17*'1a. Spredningsmodell input'!$C$16*1000*'1a. Spredningsmodell input'!$C$12)/1000000)/(Mellomregninger!$D89-Stoff!$P89*Mellomregninger!$D89))/(Mellomregninger!$F89+Stoff!$L89*365))</f>
        <v>#DIV/0!</v>
      </c>
    </row>
    <row r="90" spans="1:11" x14ac:dyDescent="0.35">
      <c r="A90" s="301" t="str">
        <f>Stoff!A90</f>
        <v>nystoff 4</v>
      </c>
      <c r="B90" s="320" t="str">
        <f>Mellomregninger!D90</f>
        <v/>
      </c>
      <c r="C90" s="318" t="e">
        <f>'1b. Kons. umettet jord'!E90</f>
        <v>#DIV/0!</v>
      </c>
      <c r="D90" s="318" t="e">
        <f>(Mellomregninger!AU90+Mellomregninger!AV90)*1000000/('1a. Spredningsmodell input'!$C$18*'1a. Spredningsmodell input'!$C$17*'1a. Spredningsmodell input'!$C$16*1000*'1a. Spredningsmodell input'!$C$12)</f>
        <v>#VALUE!</v>
      </c>
      <c r="E90" s="318" t="e">
        <f>(Mellomregninger!BG90+Mellomregninger!BH90)*1000000/('1a. Spredningsmodell input'!$C$18*'1a. Spredningsmodell input'!$C$17*'1a. Spredningsmodell input'!$C$16*1000*'1a. Spredningsmodell input'!$C$12)</f>
        <v>#VALUE!</v>
      </c>
      <c r="F90" s="318" t="e">
        <f>(Mellomregninger!BS90+Mellomregninger!BT90)*1000000/('1a. Spredningsmodell input'!$C$18*'1a. Spredningsmodell input'!$C$17*'1a. Spredningsmodell input'!$C$16*1000*'1a. Spredningsmodell input'!$C$12)</f>
        <v>#VALUE!</v>
      </c>
      <c r="G90" s="328" t="e">
        <f>C90/Stoff!$F90</f>
        <v>#DIV/0!</v>
      </c>
      <c r="H90" s="328" t="e">
        <f>D90/Stoff!$F90</f>
        <v>#VALUE!</v>
      </c>
      <c r="I90" s="328" t="e">
        <f>E90/Stoff!$F90</f>
        <v>#VALUE!</v>
      </c>
      <c r="J90" s="328" t="e">
        <f>F90/Stoff!$F90</f>
        <v>#VALUE!</v>
      </c>
      <c r="K90" s="328" t="e">
        <f>IF(G90&lt;1,0,-LN((Stoff!$F90*('1a. Spredningsmodell input'!$C$18*'1a. Spredningsmodell input'!$C$17*'1a. Spredningsmodell input'!$C$16*1000*'1a. Spredningsmodell input'!$C$12)/1000000)/(Mellomregninger!$D90-Stoff!$P90*Mellomregninger!$D90))/(Mellomregninger!$F90+Stoff!$L90*365))</f>
        <v>#DIV/0!</v>
      </c>
    </row>
    <row r="91" spans="1:11" x14ac:dyDescent="0.35">
      <c r="A91" s="301" t="str">
        <f>Stoff!A91</f>
        <v>nystoff 5</v>
      </c>
      <c r="B91" s="320" t="str">
        <f>Mellomregninger!D91</f>
        <v/>
      </c>
      <c r="C91" s="318" t="e">
        <f>'1b. Kons. umettet jord'!E91</f>
        <v>#DIV/0!</v>
      </c>
      <c r="D91" s="318" t="e">
        <f>(Mellomregninger!AU91+Mellomregninger!AV91)*1000000/('1a. Spredningsmodell input'!$C$18*'1a. Spredningsmodell input'!$C$17*'1a. Spredningsmodell input'!$C$16*1000*'1a. Spredningsmodell input'!$C$12)</f>
        <v>#VALUE!</v>
      </c>
      <c r="E91" s="318" t="e">
        <f>(Mellomregninger!BG91+Mellomregninger!BH91)*1000000/('1a. Spredningsmodell input'!$C$18*'1a. Spredningsmodell input'!$C$17*'1a. Spredningsmodell input'!$C$16*1000*'1a. Spredningsmodell input'!$C$12)</f>
        <v>#VALUE!</v>
      </c>
      <c r="F91" s="318" t="e">
        <f>(Mellomregninger!BS91+Mellomregninger!BT91)*1000000/('1a. Spredningsmodell input'!$C$18*'1a. Spredningsmodell input'!$C$17*'1a. Spredningsmodell input'!$C$16*1000*'1a. Spredningsmodell input'!$C$12)</f>
        <v>#VALUE!</v>
      </c>
      <c r="G91" s="328" t="e">
        <f>C91/Stoff!$F91</f>
        <v>#DIV/0!</v>
      </c>
      <c r="H91" s="328" t="e">
        <f>D91/Stoff!$F91</f>
        <v>#VALUE!</v>
      </c>
      <c r="I91" s="328" t="e">
        <f>E91/Stoff!$F91</f>
        <v>#VALUE!</v>
      </c>
      <c r="J91" s="328" t="e">
        <f>F91/Stoff!$F91</f>
        <v>#VALUE!</v>
      </c>
      <c r="K91" s="328" t="e">
        <f>IF(G91&lt;1,0,-LN((Stoff!$F91*('1a. Spredningsmodell input'!$C$18*'1a. Spredningsmodell input'!$C$17*'1a. Spredningsmodell input'!$C$16*1000*'1a. Spredningsmodell input'!$C$12)/1000000)/(Mellomregninger!$D91-Stoff!$P91*Mellomregninger!$D91))/(Mellomregninger!$F91+Stoff!$L91*365))</f>
        <v>#DIV/0!</v>
      </c>
    </row>
    <row r="92" spans="1:11" x14ac:dyDescent="0.35">
      <c r="A92" s="301" t="str">
        <f>Stoff!A92</f>
        <v>nystoff 6</v>
      </c>
      <c r="B92" s="320" t="str">
        <f>Mellomregninger!D92</f>
        <v/>
      </c>
      <c r="C92" s="318" t="e">
        <f>'1b. Kons. umettet jord'!E92</f>
        <v>#DIV/0!</v>
      </c>
      <c r="D92" s="318" t="e">
        <f>(Mellomregninger!AU92+Mellomregninger!AV92)*1000000/('1a. Spredningsmodell input'!$C$18*'1a. Spredningsmodell input'!$C$17*'1a. Spredningsmodell input'!$C$16*1000*'1a. Spredningsmodell input'!$C$12)</f>
        <v>#VALUE!</v>
      </c>
      <c r="E92" s="318" t="e">
        <f>(Mellomregninger!BG92+Mellomregninger!BH92)*1000000/('1a. Spredningsmodell input'!$C$18*'1a. Spredningsmodell input'!$C$17*'1a. Spredningsmodell input'!$C$16*1000*'1a. Spredningsmodell input'!$C$12)</f>
        <v>#VALUE!</v>
      </c>
      <c r="F92" s="318" t="e">
        <f>(Mellomregninger!BS92+Mellomregninger!BT92)*1000000/('1a. Spredningsmodell input'!$C$18*'1a. Spredningsmodell input'!$C$17*'1a. Spredningsmodell input'!$C$16*1000*'1a. Spredningsmodell input'!$C$12)</f>
        <v>#VALUE!</v>
      </c>
      <c r="G92" s="328" t="e">
        <f>C92/Stoff!$F92</f>
        <v>#DIV/0!</v>
      </c>
      <c r="H92" s="328" t="e">
        <f>D92/Stoff!$F92</f>
        <v>#VALUE!</v>
      </c>
      <c r="I92" s="328" t="e">
        <f>E92/Stoff!$F92</f>
        <v>#VALUE!</v>
      </c>
      <c r="J92" s="328" t="e">
        <f>F92/Stoff!$F92</f>
        <v>#VALUE!</v>
      </c>
      <c r="K92" s="328" t="e">
        <f>IF(G92&lt;1,0,-LN((Stoff!$F92*('1a. Spredningsmodell input'!$C$18*'1a. Spredningsmodell input'!$C$17*'1a. Spredningsmodell input'!$C$16*1000*'1a. Spredningsmodell input'!$C$12)/1000000)/(Mellomregninger!$D92-Stoff!$P92*Mellomregninger!$D92))/(Mellomregninger!$F92+Stoff!$L92*365))</f>
        <v>#DIV/0!</v>
      </c>
    </row>
    <row r="93" spans="1:11" x14ac:dyDescent="0.35">
      <c r="A93" s="301" t="str">
        <f>Stoff!A93</f>
        <v>nystoff 7</v>
      </c>
      <c r="B93" s="320" t="str">
        <f>Mellomregninger!D93</f>
        <v/>
      </c>
      <c r="C93" s="318" t="e">
        <f>'1b. Kons. umettet jord'!E93</f>
        <v>#DIV/0!</v>
      </c>
      <c r="D93" s="318" t="e">
        <f>(Mellomregninger!AU93+Mellomregninger!AV93)*1000000/('1a. Spredningsmodell input'!$C$18*'1a. Spredningsmodell input'!$C$17*'1a. Spredningsmodell input'!$C$16*1000*'1a. Spredningsmodell input'!$C$12)</f>
        <v>#VALUE!</v>
      </c>
      <c r="E93" s="318" t="e">
        <f>(Mellomregninger!BG93+Mellomregninger!BH93)*1000000/('1a. Spredningsmodell input'!$C$18*'1a. Spredningsmodell input'!$C$17*'1a. Spredningsmodell input'!$C$16*1000*'1a. Spredningsmodell input'!$C$12)</f>
        <v>#VALUE!</v>
      </c>
      <c r="F93" s="318" t="e">
        <f>(Mellomregninger!BS93+Mellomregninger!BT93)*1000000/('1a. Spredningsmodell input'!$C$18*'1a. Spredningsmodell input'!$C$17*'1a. Spredningsmodell input'!$C$16*1000*'1a. Spredningsmodell input'!$C$12)</f>
        <v>#VALUE!</v>
      </c>
      <c r="G93" s="328" t="e">
        <f>C93/Stoff!$F93</f>
        <v>#DIV/0!</v>
      </c>
      <c r="H93" s="328" t="e">
        <f>D93/Stoff!$F93</f>
        <v>#VALUE!</v>
      </c>
      <c r="I93" s="328" t="e">
        <f>E93/Stoff!$F93</f>
        <v>#VALUE!</v>
      </c>
      <c r="J93" s="328" t="e">
        <f>F93/Stoff!$F93</f>
        <v>#VALUE!</v>
      </c>
      <c r="K93" s="328" t="e">
        <f>IF(G93&lt;1,0,-LN((Stoff!$F93*('1a. Spredningsmodell input'!$C$18*'1a. Spredningsmodell input'!$C$17*'1a. Spredningsmodell input'!$C$16*1000*'1a. Spredningsmodell input'!$C$12)/1000000)/(Mellomregninger!$D93-Stoff!$P93*Mellomregninger!$D93))/(Mellomregninger!$F93+Stoff!$L93*365))</f>
        <v>#DIV/0!</v>
      </c>
    </row>
    <row r="94" spans="1:11" x14ac:dyDescent="0.35">
      <c r="A94" s="301" t="str">
        <f>Stoff!A94</f>
        <v>nystoff 8</v>
      </c>
      <c r="B94" s="320" t="str">
        <f>Mellomregninger!D94</f>
        <v/>
      </c>
      <c r="C94" s="318" t="e">
        <f>'1b. Kons. umettet jord'!E94</f>
        <v>#DIV/0!</v>
      </c>
      <c r="D94" s="318" t="e">
        <f>(Mellomregninger!AU94+Mellomregninger!AV94)*1000000/('1a. Spredningsmodell input'!$C$18*'1a. Spredningsmodell input'!$C$17*'1a. Spredningsmodell input'!$C$16*1000*'1a. Spredningsmodell input'!$C$12)</f>
        <v>#VALUE!</v>
      </c>
      <c r="E94" s="318" t="e">
        <f>(Mellomregninger!BG94+Mellomregninger!BH94)*1000000/('1a. Spredningsmodell input'!$C$18*'1a. Spredningsmodell input'!$C$17*'1a. Spredningsmodell input'!$C$16*1000*'1a. Spredningsmodell input'!$C$12)</f>
        <v>#VALUE!</v>
      </c>
      <c r="F94" s="318" t="e">
        <f>(Mellomregninger!BS94+Mellomregninger!BT94)*1000000/('1a. Spredningsmodell input'!$C$18*'1a. Spredningsmodell input'!$C$17*'1a. Spredningsmodell input'!$C$16*1000*'1a. Spredningsmodell input'!$C$12)</f>
        <v>#VALUE!</v>
      </c>
      <c r="G94" s="328" t="e">
        <f>C94/Stoff!$F94</f>
        <v>#DIV/0!</v>
      </c>
      <c r="H94" s="328" t="e">
        <f>D94/Stoff!$F94</f>
        <v>#VALUE!</v>
      </c>
      <c r="I94" s="328" t="e">
        <f>E94/Stoff!$F94</f>
        <v>#VALUE!</v>
      </c>
      <c r="J94" s="328" t="e">
        <f>F94/Stoff!$F94</f>
        <v>#VALUE!</v>
      </c>
      <c r="K94" s="328" t="e">
        <f>IF(G94&lt;1,0,-LN((Stoff!$F94*('1a. Spredningsmodell input'!$C$18*'1a. Spredningsmodell input'!$C$17*'1a. Spredningsmodell input'!$C$16*1000*'1a. Spredningsmodell input'!$C$12)/1000000)/(Mellomregninger!$D94-Stoff!$P94*Mellomregninger!$D94))/(Mellomregninger!$F94+Stoff!$L94*365))</f>
        <v>#DIV/0!</v>
      </c>
    </row>
    <row r="95" spans="1:11" x14ac:dyDescent="0.35">
      <c r="A95" s="301" t="str">
        <f>Stoff!A95</f>
        <v>nystoff 9</v>
      </c>
      <c r="B95" s="320" t="str">
        <f>Mellomregninger!D95</f>
        <v/>
      </c>
      <c r="C95" s="318" t="e">
        <f>'1b. Kons. umettet jord'!E95</f>
        <v>#DIV/0!</v>
      </c>
      <c r="D95" s="318" t="e">
        <f>(Mellomregninger!AU95+Mellomregninger!AV95)*1000000/('1a. Spredningsmodell input'!$C$18*'1a. Spredningsmodell input'!$C$17*'1a. Spredningsmodell input'!$C$16*1000*'1a. Spredningsmodell input'!$C$12)</f>
        <v>#VALUE!</v>
      </c>
      <c r="E95" s="318" t="e">
        <f>(Mellomregninger!BG95+Mellomregninger!BH95)*1000000/('1a. Spredningsmodell input'!$C$18*'1a. Spredningsmodell input'!$C$17*'1a. Spredningsmodell input'!$C$16*1000*'1a. Spredningsmodell input'!$C$12)</f>
        <v>#VALUE!</v>
      </c>
      <c r="F95" s="318" t="e">
        <f>(Mellomregninger!BS95+Mellomregninger!BT95)*1000000/('1a. Spredningsmodell input'!$C$18*'1a. Spredningsmodell input'!$C$17*'1a. Spredningsmodell input'!$C$16*1000*'1a. Spredningsmodell input'!$C$12)</f>
        <v>#VALUE!</v>
      </c>
      <c r="G95" s="328" t="e">
        <f>C95/Stoff!$F95</f>
        <v>#DIV/0!</v>
      </c>
      <c r="H95" s="328" t="e">
        <f>D95/Stoff!$F95</f>
        <v>#VALUE!</v>
      </c>
      <c r="I95" s="328" t="e">
        <f>E95/Stoff!$F95</f>
        <v>#VALUE!</v>
      </c>
      <c r="J95" s="328" t="e">
        <f>F95/Stoff!$F95</f>
        <v>#VALUE!</v>
      </c>
      <c r="K95" s="328" t="e">
        <f>IF(G95&lt;1,0,-LN((Stoff!$F95*('1a. Spredningsmodell input'!$C$18*'1a. Spredningsmodell input'!$C$17*'1a. Spredningsmodell input'!$C$16*1000*'1a. Spredningsmodell input'!$C$12)/1000000)/(Mellomregninger!$D95-Stoff!$P95*Mellomregninger!$D95))/(Mellomregninger!$F95+Stoff!$L95*365))</f>
        <v>#DIV/0!</v>
      </c>
    </row>
    <row r="96" spans="1:11" x14ac:dyDescent="0.35">
      <c r="A96" s="301" t="str">
        <f>Stoff!A96</f>
        <v>nystoff 10</v>
      </c>
      <c r="B96" s="320" t="str">
        <f>Mellomregninger!D96</f>
        <v/>
      </c>
      <c r="C96" s="318" t="e">
        <f>'1b. Kons. umettet jord'!E96</f>
        <v>#DIV/0!</v>
      </c>
      <c r="D96" s="318" t="e">
        <f>(Mellomregninger!AU96+Mellomregninger!AV96)*1000000/('1a. Spredningsmodell input'!$C$18*'1a. Spredningsmodell input'!$C$17*'1a. Spredningsmodell input'!$C$16*1000*'1a. Spredningsmodell input'!$C$12)</f>
        <v>#VALUE!</v>
      </c>
      <c r="E96" s="318" t="e">
        <f>(Mellomregninger!BG96+Mellomregninger!BH96)*1000000/('1a. Spredningsmodell input'!$C$18*'1a. Spredningsmodell input'!$C$17*'1a. Spredningsmodell input'!$C$16*1000*'1a. Spredningsmodell input'!$C$12)</f>
        <v>#VALUE!</v>
      </c>
      <c r="F96" s="318" t="e">
        <f>(Mellomregninger!BS96+Mellomregninger!BT96)*1000000/('1a. Spredningsmodell input'!$C$18*'1a. Spredningsmodell input'!$C$17*'1a. Spredningsmodell input'!$C$16*1000*'1a. Spredningsmodell input'!$C$12)</f>
        <v>#VALUE!</v>
      </c>
      <c r="G96" s="328" t="e">
        <f>C96/Stoff!$F96</f>
        <v>#DIV/0!</v>
      </c>
      <c r="H96" s="328" t="e">
        <f>D96/Stoff!$F96</f>
        <v>#VALUE!</v>
      </c>
      <c r="I96" s="328" t="e">
        <f>E96/Stoff!$F96</f>
        <v>#VALUE!</v>
      </c>
      <c r="J96" s="328" t="e">
        <f>F96/Stoff!$F96</f>
        <v>#VALUE!</v>
      </c>
      <c r="K96" s="328" t="e">
        <f>IF(G96&lt;1,0,-LN((Stoff!$F96*('1a. Spredningsmodell input'!$C$18*'1a. Spredningsmodell input'!$C$17*'1a. Spredningsmodell input'!$C$16*1000*'1a. Spredningsmodell input'!$C$12)/1000000)/(Mellomregninger!$D96-Stoff!$P96*Mellomregninger!$D96))/(Mellomregninger!$F96+Stoff!$L96*365))</f>
        <v>#DIV/0!</v>
      </c>
    </row>
    <row r="97" spans="1:11" x14ac:dyDescent="0.35">
      <c r="A97" s="301" t="str">
        <f>Stoff!A97</f>
        <v>nystoff 11</v>
      </c>
      <c r="B97" s="320" t="str">
        <f>Mellomregninger!D97</f>
        <v/>
      </c>
      <c r="C97" s="318" t="e">
        <f>'1b. Kons. umettet jord'!E97</f>
        <v>#DIV/0!</v>
      </c>
      <c r="D97" s="318" t="e">
        <f>(Mellomregninger!AU97+Mellomregninger!AV97)*1000000/('1a. Spredningsmodell input'!$C$18*'1a. Spredningsmodell input'!$C$17*'1a. Spredningsmodell input'!$C$16*1000*'1a. Spredningsmodell input'!$C$12)</f>
        <v>#VALUE!</v>
      </c>
      <c r="E97" s="318" t="e">
        <f>(Mellomregninger!BG97+Mellomregninger!BH97)*1000000/('1a. Spredningsmodell input'!$C$18*'1a. Spredningsmodell input'!$C$17*'1a. Spredningsmodell input'!$C$16*1000*'1a. Spredningsmodell input'!$C$12)</f>
        <v>#VALUE!</v>
      </c>
      <c r="F97" s="318" t="e">
        <f>(Mellomregninger!BS97+Mellomregninger!BT97)*1000000/('1a. Spredningsmodell input'!$C$18*'1a. Spredningsmodell input'!$C$17*'1a. Spredningsmodell input'!$C$16*1000*'1a. Spredningsmodell input'!$C$12)</f>
        <v>#VALUE!</v>
      </c>
      <c r="G97" s="328" t="e">
        <f>C97/Stoff!$F97</f>
        <v>#DIV/0!</v>
      </c>
      <c r="H97" s="328" t="e">
        <f>D97/Stoff!$F97</f>
        <v>#VALUE!</v>
      </c>
      <c r="I97" s="328" t="e">
        <f>E97/Stoff!$F97</f>
        <v>#VALUE!</v>
      </c>
      <c r="J97" s="328" t="e">
        <f>F97/Stoff!$F97</f>
        <v>#VALUE!</v>
      </c>
      <c r="K97" s="328" t="e">
        <f>IF(G97&lt;1,0,-LN((Stoff!$F97*('1a. Spredningsmodell input'!$C$18*'1a. Spredningsmodell input'!$C$17*'1a. Spredningsmodell input'!$C$16*1000*'1a. Spredningsmodell input'!$C$12)/1000000)/(Mellomregninger!$D97-Stoff!$P97*Mellomregninger!$D97))/(Mellomregninger!$F97+Stoff!$L97*365))</f>
        <v>#DIV/0!</v>
      </c>
    </row>
    <row r="98" spans="1:11" x14ac:dyDescent="0.35">
      <c r="A98" s="301" t="str">
        <f>Stoff!A98</f>
        <v>nystoff 12</v>
      </c>
      <c r="B98" s="320" t="str">
        <f>Mellomregninger!D98</f>
        <v/>
      </c>
      <c r="C98" s="318" t="e">
        <f>'1b. Kons. umettet jord'!E98</f>
        <v>#DIV/0!</v>
      </c>
      <c r="D98" s="318" t="e">
        <f>(Mellomregninger!AU98+Mellomregninger!AV98)*1000000/('1a. Spredningsmodell input'!$C$18*'1a. Spredningsmodell input'!$C$17*'1a. Spredningsmodell input'!$C$16*1000*'1a. Spredningsmodell input'!$C$12)</f>
        <v>#VALUE!</v>
      </c>
      <c r="E98" s="318" t="e">
        <f>(Mellomregninger!BG98+Mellomregninger!BH98)*1000000/('1a. Spredningsmodell input'!$C$18*'1a. Spredningsmodell input'!$C$17*'1a. Spredningsmodell input'!$C$16*1000*'1a. Spredningsmodell input'!$C$12)</f>
        <v>#VALUE!</v>
      </c>
      <c r="F98" s="318" t="e">
        <f>(Mellomregninger!BS98+Mellomregninger!BT98)*1000000/('1a. Spredningsmodell input'!$C$18*'1a. Spredningsmodell input'!$C$17*'1a. Spredningsmodell input'!$C$16*1000*'1a. Spredningsmodell input'!$C$12)</f>
        <v>#VALUE!</v>
      </c>
      <c r="G98" s="328" t="e">
        <f>C98/Stoff!$F98</f>
        <v>#DIV/0!</v>
      </c>
      <c r="H98" s="328" t="e">
        <f>D98/Stoff!$F98</f>
        <v>#VALUE!</v>
      </c>
      <c r="I98" s="328" t="e">
        <f>E98/Stoff!$F98</f>
        <v>#VALUE!</v>
      </c>
      <c r="J98" s="328" t="e">
        <f>F98/Stoff!$F98</f>
        <v>#VALUE!</v>
      </c>
      <c r="K98" s="328" t="e">
        <f>IF(G98&lt;1,0,-LN((Stoff!$F98*('1a. Spredningsmodell input'!$C$18*'1a. Spredningsmodell input'!$C$17*'1a. Spredningsmodell input'!$C$16*1000*'1a. Spredningsmodell input'!$C$12)/1000000)/(Mellomregninger!$D98-Stoff!$P98*Mellomregninger!$D98))/(Mellomregninger!$F98+Stoff!$L98*365))</f>
        <v>#DIV/0!</v>
      </c>
    </row>
    <row r="99" spans="1:11" x14ac:dyDescent="0.35">
      <c r="A99" s="301" t="str">
        <f>Stoff!A99</f>
        <v>nystoff 13</v>
      </c>
      <c r="B99" s="320" t="str">
        <f>Mellomregninger!D99</f>
        <v/>
      </c>
      <c r="C99" s="318" t="e">
        <f>'1b. Kons. umettet jord'!E99</f>
        <v>#DIV/0!</v>
      </c>
      <c r="D99" s="318" t="e">
        <f>(Mellomregninger!AU99+Mellomregninger!AV99)*1000000/('1a. Spredningsmodell input'!$C$18*'1a. Spredningsmodell input'!$C$17*'1a. Spredningsmodell input'!$C$16*1000*'1a. Spredningsmodell input'!$C$12)</f>
        <v>#VALUE!</v>
      </c>
      <c r="E99" s="318" t="e">
        <f>(Mellomregninger!BG99+Mellomregninger!BH99)*1000000/('1a. Spredningsmodell input'!$C$18*'1a. Spredningsmodell input'!$C$17*'1a. Spredningsmodell input'!$C$16*1000*'1a. Spredningsmodell input'!$C$12)</f>
        <v>#VALUE!</v>
      </c>
      <c r="F99" s="318" t="e">
        <f>(Mellomregninger!BS99+Mellomregninger!BT99)*1000000/('1a. Spredningsmodell input'!$C$18*'1a. Spredningsmodell input'!$C$17*'1a. Spredningsmodell input'!$C$16*1000*'1a. Spredningsmodell input'!$C$12)</f>
        <v>#VALUE!</v>
      </c>
      <c r="G99" s="328" t="e">
        <f>C99/Stoff!$F99</f>
        <v>#DIV/0!</v>
      </c>
      <c r="H99" s="328" t="e">
        <f>D99/Stoff!$F99</f>
        <v>#VALUE!</v>
      </c>
      <c r="I99" s="328" t="e">
        <f>E99/Stoff!$F99</f>
        <v>#VALUE!</v>
      </c>
      <c r="J99" s="328" t="e">
        <f>F99/Stoff!$F99</f>
        <v>#VALUE!</v>
      </c>
      <c r="K99" s="328" t="e">
        <f>IF(G99&lt;1,0,-LN((Stoff!$F99*('1a. Spredningsmodell input'!$C$18*'1a. Spredningsmodell input'!$C$17*'1a. Spredningsmodell input'!$C$16*1000*'1a. Spredningsmodell input'!$C$12)/1000000)/(Mellomregninger!$D99-Stoff!$P99*Mellomregninger!$D99))/(Mellomregninger!$F99+Stoff!$L99*365))</f>
        <v>#DIV/0!</v>
      </c>
    </row>
    <row r="100" spans="1:11" x14ac:dyDescent="0.35">
      <c r="A100" s="301" t="str">
        <f>Stoff!A100</f>
        <v>nystoff 14</v>
      </c>
      <c r="B100" s="320" t="str">
        <f>Mellomregninger!D100</f>
        <v/>
      </c>
      <c r="C100" s="318" t="e">
        <f>'1b. Kons. umettet jord'!E100</f>
        <v>#DIV/0!</v>
      </c>
      <c r="D100" s="318" t="e">
        <f>(Mellomregninger!AU100+Mellomregninger!AV100)*1000000/('1a. Spredningsmodell input'!$C$18*'1a. Spredningsmodell input'!$C$17*'1a. Spredningsmodell input'!$C$16*1000*'1a. Spredningsmodell input'!$C$12)</f>
        <v>#VALUE!</v>
      </c>
      <c r="E100" s="318" t="e">
        <f>(Mellomregninger!BG100+Mellomregninger!BH100)*1000000/('1a. Spredningsmodell input'!$C$18*'1a. Spredningsmodell input'!$C$17*'1a. Spredningsmodell input'!$C$16*1000*'1a. Spredningsmodell input'!$C$12)</f>
        <v>#VALUE!</v>
      </c>
      <c r="F100" s="318" t="e">
        <f>(Mellomregninger!BS100+Mellomregninger!BT100)*1000000/('1a. Spredningsmodell input'!$C$18*'1a. Spredningsmodell input'!$C$17*'1a. Spredningsmodell input'!$C$16*1000*'1a. Spredningsmodell input'!$C$12)</f>
        <v>#VALUE!</v>
      </c>
      <c r="G100" s="328" t="e">
        <f>C100/Stoff!$F100</f>
        <v>#DIV/0!</v>
      </c>
      <c r="H100" s="328" t="e">
        <f>D100/Stoff!$F100</f>
        <v>#VALUE!</v>
      </c>
      <c r="I100" s="328" t="e">
        <f>E100/Stoff!$F100</f>
        <v>#VALUE!</v>
      </c>
      <c r="J100" s="328" t="e">
        <f>F100/Stoff!$F100</f>
        <v>#VALUE!</v>
      </c>
      <c r="K100" s="328" t="e">
        <f>IF(G100&lt;1,0,-LN((Stoff!$F100*('1a. Spredningsmodell input'!$C$18*'1a. Spredningsmodell input'!$C$17*'1a. Spredningsmodell input'!$C$16*1000*'1a. Spredningsmodell input'!$C$12)/1000000)/(Mellomregninger!$D100-Stoff!$P100*Mellomregninger!$D100))/(Mellomregninger!$F100+Stoff!$L100*365))</f>
        <v>#DIV/0!</v>
      </c>
    </row>
    <row r="101" spans="1:11" x14ac:dyDescent="0.35">
      <c r="A101" s="301" t="str">
        <f>Stoff!A101</f>
        <v>nystoff 15</v>
      </c>
      <c r="B101" s="320" t="str">
        <f>Mellomregninger!D101</f>
        <v/>
      </c>
      <c r="C101" s="318" t="e">
        <f>'1b. Kons. umettet jord'!E101</f>
        <v>#DIV/0!</v>
      </c>
      <c r="D101" s="318" t="e">
        <f>(Mellomregninger!AU101+Mellomregninger!AV101)*1000000/('1a. Spredningsmodell input'!$C$18*'1a. Spredningsmodell input'!$C$17*'1a. Spredningsmodell input'!$C$16*1000*'1a. Spredningsmodell input'!$C$12)</f>
        <v>#VALUE!</v>
      </c>
      <c r="E101" s="318" t="e">
        <f>(Mellomregninger!BG101+Mellomregninger!BH101)*1000000/('1a. Spredningsmodell input'!$C$18*'1a. Spredningsmodell input'!$C$17*'1a. Spredningsmodell input'!$C$16*1000*'1a. Spredningsmodell input'!$C$12)</f>
        <v>#VALUE!</v>
      </c>
      <c r="F101" s="318" t="e">
        <f>(Mellomregninger!BS101+Mellomregninger!BT101)*1000000/('1a. Spredningsmodell input'!$C$18*'1a. Spredningsmodell input'!$C$17*'1a. Spredningsmodell input'!$C$16*1000*'1a. Spredningsmodell input'!$C$12)</f>
        <v>#VALUE!</v>
      </c>
      <c r="G101" s="328" t="e">
        <f>C101/Stoff!$F101</f>
        <v>#DIV/0!</v>
      </c>
      <c r="H101" s="328" t="e">
        <f>D101/Stoff!$F101</f>
        <v>#VALUE!</v>
      </c>
      <c r="I101" s="328" t="e">
        <f>E101/Stoff!$F101</f>
        <v>#VALUE!</v>
      </c>
      <c r="J101" s="328" t="e">
        <f>F101/Stoff!$F101</f>
        <v>#VALUE!</v>
      </c>
      <c r="K101" s="328" t="e">
        <f>IF(G101&lt;1,0,-LN((Stoff!$F101*('1a. Spredningsmodell input'!$C$18*'1a. Spredningsmodell input'!$C$17*'1a. Spredningsmodell input'!$C$16*1000*'1a. Spredningsmodell input'!$C$12)/1000000)/(Mellomregninger!$D101-Stoff!$P101*Mellomregninger!$D101))/(Mellomregninger!$F101+Stoff!$L101*365))</f>
        <v>#DIV/0!</v>
      </c>
    </row>
    <row r="102" spans="1:11" x14ac:dyDescent="0.35">
      <c r="A102" s="301" t="str">
        <f>Stoff!A102</f>
        <v>nystoff 16</v>
      </c>
      <c r="B102" s="320" t="str">
        <f>Mellomregninger!D102</f>
        <v/>
      </c>
      <c r="C102" s="318" t="e">
        <f>'1b. Kons. umettet jord'!E102</f>
        <v>#DIV/0!</v>
      </c>
      <c r="D102" s="318" t="e">
        <f>(Mellomregninger!AU102+Mellomregninger!AV102)*1000000/('1a. Spredningsmodell input'!$C$18*'1a. Spredningsmodell input'!$C$17*'1a. Spredningsmodell input'!$C$16*1000*'1a. Spredningsmodell input'!$C$12)</f>
        <v>#VALUE!</v>
      </c>
      <c r="E102" s="318" t="e">
        <f>(Mellomregninger!BG102+Mellomregninger!BH102)*1000000/('1a. Spredningsmodell input'!$C$18*'1a. Spredningsmodell input'!$C$17*'1a. Spredningsmodell input'!$C$16*1000*'1a. Spredningsmodell input'!$C$12)</f>
        <v>#VALUE!</v>
      </c>
      <c r="F102" s="318" t="e">
        <f>(Mellomregninger!BS102+Mellomregninger!BT102)*1000000/('1a. Spredningsmodell input'!$C$18*'1a. Spredningsmodell input'!$C$17*'1a. Spredningsmodell input'!$C$16*1000*'1a. Spredningsmodell input'!$C$12)</f>
        <v>#VALUE!</v>
      </c>
      <c r="G102" s="328" t="e">
        <f>C102/Stoff!$F102</f>
        <v>#DIV/0!</v>
      </c>
      <c r="H102" s="328" t="e">
        <f>D102/Stoff!$F102</f>
        <v>#VALUE!</v>
      </c>
      <c r="I102" s="328" t="e">
        <f>E102/Stoff!$F102</f>
        <v>#VALUE!</v>
      </c>
      <c r="J102" s="328" t="e">
        <f>F102/Stoff!$F102</f>
        <v>#VALUE!</v>
      </c>
      <c r="K102" s="328" t="e">
        <f>IF(G102&lt;1,0,-LN((Stoff!$F102*('1a. Spredningsmodell input'!$C$18*'1a. Spredningsmodell input'!$C$17*'1a. Spredningsmodell input'!$C$16*1000*'1a. Spredningsmodell input'!$C$12)/1000000)/(Mellomregninger!$D102-Stoff!$P102*Mellomregninger!$D102))/(Mellomregninger!$F102+Stoff!$L102*365))</f>
        <v>#DIV/0!</v>
      </c>
    </row>
    <row r="103" spans="1:11" x14ac:dyDescent="0.35">
      <c r="A103" s="301" t="str">
        <f>Stoff!A103</f>
        <v>nystoff 17</v>
      </c>
      <c r="B103" s="320" t="str">
        <f>Mellomregninger!D103</f>
        <v/>
      </c>
      <c r="C103" s="318" t="e">
        <f>'1b. Kons. umettet jord'!E103</f>
        <v>#DIV/0!</v>
      </c>
      <c r="D103" s="318" t="e">
        <f>(Mellomregninger!AU103+Mellomregninger!AV103)*1000000/('1a. Spredningsmodell input'!$C$18*'1a. Spredningsmodell input'!$C$17*'1a. Spredningsmodell input'!$C$16*1000*'1a. Spredningsmodell input'!$C$12)</f>
        <v>#VALUE!</v>
      </c>
      <c r="E103" s="318" t="e">
        <f>(Mellomregninger!BG103+Mellomregninger!BH103)*1000000/('1a. Spredningsmodell input'!$C$18*'1a. Spredningsmodell input'!$C$17*'1a. Spredningsmodell input'!$C$16*1000*'1a. Spredningsmodell input'!$C$12)</f>
        <v>#VALUE!</v>
      </c>
      <c r="F103" s="318" t="e">
        <f>(Mellomregninger!BS103+Mellomregninger!BT103)*1000000/('1a. Spredningsmodell input'!$C$18*'1a. Spredningsmodell input'!$C$17*'1a. Spredningsmodell input'!$C$16*1000*'1a. Spredningsmodell input'!$C$12)</f>
        <v>#VALUE!</v>
      </c>
      <c r="G103" s="328" t="e">
        <f>C103/Stoff!$F103</f>
        <v>#DIV/0!</v>
      </c>
      <c r="H103" s="328" t="e">
        <f>D103/Stoff!$F103</f>
        <v>#VALUE!</v>
      </c>
      <c r="I103" s="328" t="e">
        <f>E103/Stoff!$F103</f>
        <v>#VALUE!</v>
      </c>
      <c r="J103" s="328" t="e">
        <f>F103/Stoff!$F103</f>
        <v>#VALUE!</v>
      </c>
      <c r="K103" s="328" t="e">
        <f>IF(G103&lt;1,0,-LN((Stoff!$F103*('1a. Spredningsmodell input'!$C$18*'1a. Spredningsmodell input'!$C$17*'1a. Spredningsmodell input'!$C$16*1000*'1a. Spredningsmodell input'!$C$12)/1000000)/(Mellomregninger!$D103-Stoff!$P103*Mellomregninger!$D103))/(Mellomregninger!$F103+Stoff!$L103*365))</f>
        <v>#DIV/0!</v>
      </c>
    </row>
    <row r="104" spans="1:11" x14ac:dyDescent="0.35">
      <c r="A104" s="301" t="str">
        <f>Stoff!A104</f>
        <v>nystoff 18</v>
      </c>
      <c r="B104" s="320" t="str">
        <f>Mellomregninger!D104</f>
        <v/>
      </c>
      <c r="C104" s="318" t="e">
        <f>'1b. Kons. umettet jord'!E104</f>
        <v>#DIV/0!</v>
      </c>
      <c r="D104" s="318" t="e">
        <f>(Mellomregninger!AU104+Mellomregninger!AV104)*1000000/('1a. Spredningsmodell input'!$C$18*'1a. Spredningsmodell input'!$C$17*'1a. Spredningsmodell input'!$C$16*1000*'1a. Spredningsmodell input'!$C$12)</f>
        <v>#VALUE!</v>
      </c>
      <c r="E104" s="318" t="e">
        <f>(Mellomregninger!BG104+Mellomregninger!BH104)*1000000/('1a. Spredningsmodell input'!$C$18*'1a. Spredningsmodell input'!$C$17*'1a. Spredningsmodell input'!$C$16*1000*'1a. Spredningsmodell input'!$C$12)</f>
        <v>#VALUE!</v>
      </c>
      <c r="F104" s="318" t="e">
        <f>(Mellomregninger!BS104+Mellomregninger!BT104)*1000000/('1a. Spredningsmodell input'!$C$18*'1a. Spredningsmodell input'!$C$17*'1a. Spredningsmodell input'!$C$16*1000*'1a. Spredningsmodell input'!$C$12)</f>
        <v>#VALUE!</v>
      </c>
      <c r="G104" s="328" t="e">
        <f>C104/Stoff!$F104</f>
        <v>#DIV/0!</v>
      </c>
      <c r="H104" s="328" t="e">
        <f>D104/Stoff!$F104</f>
        <v>#VALUE!</v>
      </c>
      <c r="I104" s="328" t="e">
        <f>E104/Stoff!$F104</f>
        <v>#VALUE!</v>
      </c>
      <c r="J104" s="328" t="e">
        <f>F104/Stoff!$F104</f>
        <v>#VALUE!</v>
      </c>
      <c r="K104" s="328" t="e">
        <f>IF(G104&lt;1,0,-LN((Stoff!$F104*('1a. Spredningsmodell input'!$C$18*'1a. Spredningsmodell input'!$C$17*'1a. Spredningsmodell input'!$C$16*1000*'1a. Spredningsmodell input'!$C$12)/1000000)/(Mellomregninger!$D104-Stoff!$P104*Mellomregninger!$D104))/(Mellomregninger!$F104+Stoff!$L104*365))</f>
        <v>#DIV/0!</v>
      </c>
    </row>
    <row r="105" spans="1:11" x14ac:dyDescent="0.35">
      <c r="A105" s="301" t="str">
        <f>Stoff!A105</f>
        <v>nystoff 19</v>
      </c>
      <c r="B105" s="320" t="str">
        <f>Mellomregninger!D105</f>
        <v/>
      </c>
      <c r="C105" s="318" t="e">
        <f>'1b. Kons. umettet jord'!E105</f>
        <v>#DIV/0!</v>
      </c>
      <c r="D105" s="318" t="e">
        <f>(Mellomregninger!AU105+Mellomregninger!AV105)*1000000/('1a. Spredningsmodell input'!$C$18*'1a. Spredningsmodell input'!$C$17*'1a. Spredningsmodell input'!$C$16*1000*'1a. Spredningsmodell input'!$C$12)</f>
        <v>#VALUE!</v>
      </c>
      <c r="E105" s="318" t="e">
        <f>(Mellomregninger!BG105+Mellomregninger!BH105)*1000000/('1a. Spredningsmodell input'!$C$18*'1a. Spredningsmodell input'!$C$17*'1a. Spredningsmodell input'!$C$16*1000*'1a. Spredningsmodell input'!$C$12)</f>
        <v>#VALUE!</v>
      </c>
      <c r="F105" s="318" t="e">
        <f>(Mellomregninger!BS105+Mellomregninger!BT105)*1000000/('1a. Spredningsmodell input'!$C$18*'1a. Spredningsmodell input'!$C$17*'1a. Spredningsmodell input'!$C$16*1000*'1a. Spredningsmodell input'!$C$12)</f>
        <v>#VALUE!</v>
      </c>
      <c r="G105" s="328" t="e">
        <f>C105/Stoff!$F105</f>
        <v>#DIV/0!</v>
      </c>
      <c r="H105" s="328" t="e">
        <f>D105/Stoff!$F105</f>
        <v>#VALUE!</v>
      </c>
      <c r="I105" s="328" t="e">
        <f>E105/Stoff!$F105</f>
        <v>#VALUE!</v>
      </c>
      <c r="J105" s="328" t="e">
        <f>F105/Stoff!$F105</f>
        <v>#VALUE!</v>
      </c>
      <c r="K105" s="328" t="e">
        <f>IF(G105&lt;1,0,-LN((Stoff!$F105*('1a. Spredningsmodell input'!$C$18*'1a. Spredningsmodell input'!$C$17*'1a. Spredningsmodell input'!$C$16*1000*'1a. Spredningsmodell input'!$C$12)/1000000)/(Mellomregninger!$D105-Stoff!$P105*Mellomregninger!$D105))/(Mellomregninger!$F105+Stoff!$L105*365))</f>
        <v>#DIV/0!</v>
      </c>
    </row>
    <row r="106" spans="1:11" x14ac:dyDescent="0.35">
      <c r="A106" s="301" t="str">
        <f>Stoff!A106</f>
        <v>nystoff 20</v>
      </c>
      <c r="B106" s="320" t="str">
        <f>Mellomregninger!D106</f>
        <v/>
      </c>
      <c r="C106" s="318" t="e">
        <f>'1b. Kons. umettet jord'!E106</f>
        <v>#DIV/0!</v>
      </c>
      <c r="D106" s="318" t="e">
        <f>(Mellomregninger!AU106+Mellomregninger!AV106)*1000000/('1a. Spredningsmodell input'!$C$18*'1a. Spredningsmodell input'!$C$17*'1a. Spredningsmodell input'!$C$16*1000*'1a. Spredningsmodell input'!$C$12)</f>
        <v>#VALUE!</v>
      </c>
      <c r="E106" s="318" t="e">
        <f>(Mellomregninger!BG106+Mellomregninger!BH106)*1000000/('1a. Spredningsmodell input'!$C$18*'1a. Spredningsmodell input'!$C$17*'1a. Spredningsmodell input'!$C$16*1000*'1a. Spredningsmodell input'!$C$12)</f>
        <v>#VALUE!</v>
      </c>
      <c r="F106" s="318" t="e">
        <f>(Mellomregninger!BS106+Mellomregninger!BT106)*1000000/('1a. Spredningsmodell input'!$C$18*'1a. Spredningsmodell input'!$C$17*'1a. Spredningsmodell input'!$C$16*1000*'1a. Spredningsmodell input'!$C$12)</f>
        <v>#VALUE!</v>
      </c>
      <c r="G106" s="328" t="e">
        <f>C106/Stoff!$F106</f>
        <v>#DIV/0!</v>
      </c>
      <c r="H106" s="328" t="e">
        <f>D106/Stoff!$F106</f>
        <v>#VALUE!</v>
      </c>
      <c r="I106" s="328" t="e">
        <f>E106/Stoff!$F106</f>
        <v>#VALUE!</v>
      </c>
      <c r="J106" s="328" t="e">
        <f>F106/Stoff!$F106</f>
        <v>#VALUE!</v>
      </c>
      <c r="K106" s="328" t="e">
        <f>IF(G106&lt;1,0,-LN((Stoff!$F106*('1a. Spredningsmodell input'!$C$18*'1a. Spredningsmodell input'!$C$17*'1a. Spredningsmodell input'!$C$16*1000*'1a. Spredningsmodell input'!$C$12)/1000000)/(Mellomregninger!$D106-Stoff!$P106*Mellomregninger!$D106))/(Mellomregninger!$F106+Stoff!$L106*365))</f>
        <v>#DIV/0!</v>
      </c>
    </row>
    <row r="107" spans="1:11" x14ac:dyDescent="0.35">
      <c r="A107" s="301" t="str">
        <f>Stoff!A107</f>
        <v>nystoff 21</v>
      </c>
      <c r="B107" s="320" t="str">
        <f>Mellomregninger!D107</f>
        <v/>
      </c>
      <c r="C107" s="318" t="e">
        <f>'1b. Kons. umettet jord'!E107</f>
        <v>#DIV/0!</v>
      </c>
      <c r="D107" s="318" t="e">
        <f>(Mellomregninger!AU107+Mellomregninger!AV107)*1000000/('1a. Spredningsmodell input'!$C$18*'1a. Spredningsmodell input'!$C$17*'1a. Spredningsmodell input'!$C$16*1000*'1a. Spredningsmodell input'!$C$12)</f>
        <v>#VALUE!</v>
      </c>
      <c r="E107" s="318" t="e">
        <f>(Mellomregninger!BG107+Mellomregninger!BH107)*1000000/('1a. Spredningsmodell input'!$C$18*'1a. Spredningsmodell input'!$C$17*'1a. Spredningsmodell input'!$C$16*1000*'1a. Spredningsmodell input'!$C$12)</f>
        <v>#VALUE!</v>
      </c>
      <c r="F107" s="318" t="e">
        <f>(Mellomregninger!BS107+Mellomregninger!BT107)*1000000/('1a. Spredningsmodell input'!$C$18*'1a. Spredningsmodell input'!$C$17*'1a. Spredningsmodell input'!$C$16*1000*'1a. Spredningsmodell input'!$C$12)</f>
        <v>#VALUE!</v>
      </c>
      <c r="G107" s="328" t="e">
        <f>C107/Stoff!$F107</f>
        <v>#DIV/0!</v>
      </c>
      <c r="H107" s="328" t="e">
        <f>D107/Stoff!$F107</f>
        <v>#VALUE!</v>
      </c>
      <c r="I107" s="328" t="e">
        <f>E107/Stoff!$F107</f>
        <v>#VALUE!</v>
      </c>
      <c r="J107" s="328" t="e">
        <f>F107/Stoff!$F107</f>
        <v>#VALUE!</v>
      </c>
      <c r="K107" s="328" t="e">
        <f>IF(G107&lt;1,0,-LN((Stoff!$F107*('1a. Spredningsmodell input'!$C$18*'1a. Spredningsmodell input'!$C$17*'1a. Spredningsmodell input'!$C$16*1000*'1a. Spredningsmodell input'!$C$12)/1000000)/(Mellomregninger!$D107-Stoff!$P107*Mellomregninger!$D107))/(Mellomregninger!$F107+Stoff!$L107*365))</f>
        <v>#DIV/0!</v>
      </c>
    </row>
    <row r="108" spans="1:11" x14ac:dyDescent="0.35">
      <c r="A108" s="301" t="str">
        <f>Stoff!A108</f>
        <v>nystoff 22</v>
      </c>
      <c r="B108" s="320" t="str">
        <f>Mellomregninger!D108</f>
        <v/>
      </c>
      <c r="C108" s="318" t="e">
        <f>'1b. Kons. umettet jord'!E108</f>
        <v>#DIV/0!</v>
      </c>
      <c r="D108" s="318" t="e">
        <f>(Mellomregninger!AU108+Mellomregninger!AV108)*1000000/('1a. Spredningsmodell input'!$C$18*'1a. Spredningsmodell input'!$C$17*'1a. Spredningsmodell input'!$C$16*1000*'1a. Spredningsmodell input'!$C$12)</f>
        <v>#VALUE!</v>
      </c>
      <c r="E108" s="318" t="e">
        <f>(Mellomregninger!BG108+Mellomregninger!BH108)*1000000/('1a. Spredningsmodell input'!$C$18*'1a. Spredningsmodell input'!$C$17*'1a. Spredningsmodell input'!$C$16*1000*'1a. Spredningsmodell input'!$C$12)</f>
        <v>#VALUE!</v>
      </c>
      <c r="F108" s="318" t="e">
        <f>(Mellomregninger!BS108+Mellomregninger!BT108)*1000000/('1a. Spredningsmodell input'!$C$18*'1a. Spredningsmodell input'!$C$17*'1a. Spredningsmodell input'!$C$16*1000*'1a. Spredningsmodell input'!$C$12)</f>
        <v>#VALUE!</v>
      </c>
      <c r="G108" s="328" t="e">
        <f>C108/Stoff!$F108</f>
        <v>#DIV/0!</v>
      </c>
      <c r="H108" s="328" t="e">
        <f>D108/Stoff!$F108</f>
        <v>#VALUE!</v>
      </c>
      <c r="I108" s="328" t="e">
        <f>E108/Stoff!$F108</f>
        <v>#VALUE!</v>
      </c>
      <c r="J108" s="328" t="e">
        <f>F108/Stoff!$F108</f>
        <v>#VALUE!</v>
      </c>
      <c r="K108" s="328" t="e">
        <f>IF(G108&lt;1,0,-LN((Stoff!$F108*('1a. Spredningsmodell input'!$C$18*'1a. Spredningsmodell input'!$C$17*'1a. Spredningsmodell input'!$C$16*1000*'1a. Spredningsmodell input'!$C$12)/1000000)/(Mellomregninger!$D108-Stoff!$P108*Mellomregninger!$D108))/(Mellomregninger!$F108+Stoff!$L108*365))</f>
        <v>#DIV/0!</v>
      </c>
    </row>
    <row r="109" spans="1:11" x14ac:dyDescent="0.35">
      <c r="A109" s="301" t="str">
        <f>Stoff!A109</f>
        <v>nystoff 23</v>
      </c>
      <c r="B109" s="320" t="str">
        <f>Mellomregninger!D109</f>
        <v/>
      </c>
      <c r="C109" s="318" t="e">
        <f>'1b. Kons. umettet jord'!E109</f>
        <v>#DIV/0!</v>
      </c>
      <c r="D109" s="318" t="e">
        <f>(Mellomregninger!AU109+Mellomregninger!AV109)*1000000/('1a. Spredningsmodell input'!$C$18*'1a. Spredningsmodell input'!$C$17*'1a. Spredningsmodell input'!$C$16*1000*'1a. Spredningsmodell input'!$C$12)</f>
        <v>#VALUE!</v>
      </c>
      <c r="E109" s="318" t="e">
        <f>(Mellomregninger!BG109+Mellomregninger!BH109)*1000000/('1a. Spredningsmodell input'!$C$18*'1a. Spredningsmodell input'!$C$17*'1a. Spredningsmodell input'!$C$16*1000*'1a. Spredningsmodell input'!$C$12)</f>
        <v>#VALUE!</v>
      </c>
      <c r="F109" s="318" t="e">
        <f>(Mellomregninger!BS109+Mellomregninger!BT109)*1000000/('1a. Spredningsmodell input'!$C$18*'1a. Spredningsmodell input'!$C$17*'1a. Spredningsmodell input'!$C$16*1000*'1a. Spredningsmodell input'!$C$12)</f>
        <v>#VALUE!</v>
      </c>
      <c r="G109" s="328" t="e">
        <f>C109/Stoff!$F109</f>
        <v>#DIV/0!</v>
      </c>
      <c r="H109" s="328" t="e">
        <f>D109/Stoff!$F109</f>
        <v>#VALUE!</v>
      </c>
      <c r="I109" s="328" t="e">
        <f>E109/Stoff!$F109</f>
        <v>#VALUE!</v>
      </c>
      <c r="J109" s="328" t="e">
        <f>F109/Stoff!$F109</f>
        <v>#VALUE!</v>
      </c>
      <c r="K109" s="328" t="e">
        <f>IF(G109&lt;1,0,-LN((Stoff!$F109*('1a. Spredningsmodell input'!$C$18*'1a. Spredningsmodell input'!$C$17*'1a. Spredningsmodell input'!$C$16*1000*'1a. Spredningsmodell input'!$C$12)/1000000)/(Mellomregninger!$D109-Stoff!$P109*Mellomregninger!$D109))/(Mellomregninger!$F109+Stoff!$L109*365))</f>
        <v>#DIV/0!</v>
      </c>
    </row>
    <row r="110" spans="1:11" x14ac:dyDescent="0.35">
      <c r="A110" s="301" t="str">
        <f>Stoff!A110</f>
        <v>nystoff 24</v>
      </c>
      <c r="B110" s="320" t="str">
        <f>Mellomregninger!D110</f>
        <v/>
      </c>
      <c r="C110" s="318" t="e">
        <f>'1b. Kons. umettet jord'!E110</f>
        <v>#DIV/0!</v>
      </c>
      <c r="D110" s="318" t="e">
        <f>(Mellomregninger!AU110+Mellomregninger!AV110)*1000000/('1a. Spredningsmodell input'!$C$18*'1a. Spredningsmodell input'!$C$17*'1a. Spredningsmodell input'!$C$16*1000*'1a. Spredningsmodell input'!$C$12)</f>
        <v>#VALUE!</v>
      </c>
      <c r="E110" s="318" t="e">
        <f>(Mellomregninger!BG110+Mellomregninger!BH110)*1000000/('1a. Spredningsmodell input'!$C$18*'1a. Spredningsmodell input'!$C$17*'1a. Spredningsmodell input'!$C$16*1000*'1a. Spredningsmodell input'!$C$12)</f>
        <v>#VALUE!</v>
      </c>
      <c r="F110" s="318" t="e">
        <f>(Mellomregninger!BS110+Mellomregninger!BT110)*1000000/('1a. Spredningsmodell input'!$C$18*'1a. Spredningsmodell input'!$C$17*'1a. Spredningsmodell input'!$C$16*1000*'1a. Spredningsmodell input'!$C$12)</f>
        <v>#VALUE!</v>
      </c>
      <c r="G110" s="328" t="e">
        <f>C110/Stoff!$F110</f>
        <v>#DIV/0!</v>
      </c>
      <c r="H110" s="328" t="e">
        <f>D110/Stoff!$F110</f>
        <v>#VALUE!</v>
      </c>
      <c r="I110" s="328" t="e">
        <f>E110/Stoff!$F110</f>
        <v>#VALUE!</v>
      </c>
      <c r="J110" s="328" t="e">
        <f>F110/Stoff!$F110</f>
        <v>#VALUE!</v>
      </c>
      <c r="K110" s="328" t="e">
        <f>IF(G110&lt;1,0,-LN((Stoff!$F110*('1a. Spredningsmodell input'!$C$18*'1a. Spredningsmodell input'!$C$17*'1a. Spredningsmodell input'!$C$16*1000*'1a. Spredningsmodell input'!$C$12)/1000000)/(Mellomregninger!$D110-Stoff!$P110*Mellomregninger!$D110))/(Mellomregninger!$F110+Stoff!$L110*365))</f>
        <v>#DIV/0!</v>
      </c>
    </row>
    <row r="111" spans="1:11" x14ac:dyDescent="0.35">
      <c r="A111" s="301" t="str">
        <f>Stoff!A111</f>
        <v>nystoff 25</v>
      </c>
      <c r="B111" s="320" t="str">
        <f>Mellomregninger!D111</f>
        <v/>
      </c>
      <c r="C111" s="318" t="e">
        <f>'1b. Kons. umettet jord'!E111</f>
        <v>#DIV/0!</v>
      </c>
      <c r="D111" s="318" t="e">
        <f>(Mellomregninger!AU111+Mellomregninger!AV111)*1000000/('1a. Spredningsmodell input'!$C$18*'1a. Spredningsmodell input'!$C$17*'1a. Spredningsmodell input'!$C$16*1000*'1a. Spredningsmodell input'!$C$12)</f>
        <v>#VALUE!</v>
      </c>
      <c r="E111" s="318" t="e">
        <f>(Mellomregninger!BG111+Mellomregninger!BH111)*1000000/('1a. Spredningsmodell input'!$C$18*'1a. Spredningsmodell input'!$C$17*'1a. Spredningsmodell input'!$C$16*1000*'1a. Spredningsmodell input'!$C$12)</f>
        <v>#VALUE!</v>
      </c>
      <c r="F111" s="318" t="e">
        <f>(Mellomregninger!BS111+Mellomregninger!BT111)*1000000/('1a. Spredningsmodell input'!$C$18*'1a. Spredningsmodell input'!$C$17*'1a. Spredningsmodell input'!$C$16*1000*'1a. Spredningsmodell input'!$C$12)</f>
        <v>#VALUE!</v>
      </c>
      <c r="G111" s="328" t="e">
        <f>C111/Stoff!$F111</f>
        <v>#DIV/0!</v>
      </c>
      <c r="H111" s="328" t="e">
        <f>D111/Stoff!$F111</f>
        <v>#VALUE!</v>
      </c>
      <c r="I111" s="328" t="e">
        <f>E111/Stoff!$F111</f>
        <v>#VALUE!</v>
      </c>
      <c r="J111" s="328" t="e">
        <f>F111/Stoff!$F111</f>
        <v>#VALUE!</v>
      </c>
      <c r="K111" s="328" t="e">
        <f>IF(G111&lt;1,0,-LN((Stoff!$F111*('1a. Spredningsmodell input'!$C$18*'1a. Spredningsmodell input'!$C$17*'1a. Spredningsmodell input'!$C$16*1000*'1a. Spredningsmodell input'!$C$12)/1000000)/(Mellomregninger!$D111-Stoff!$P111*Mellomregninger!$D111))/(Mellomregninger!$F111+Stoff!$L111*365))</f>
        <v>#DIV/0!</v>
      </c>
    </row>
    <row r="112" spans="1:11" x14ac:dyDescent="0.35">
      <c r="A112" s="301" t="str">
        <f>Stoff!A112</f>
        <v>nystoff 26</v>
      </c>
      <c r="B112" s="320" t="str">
        <f>Mellomregninger!D112</f>
        <v/>
      </c>
      <c r="C112" s="318" t="e">
        <f>'1b. Kons. umettet jord'!E112</f>
        <v>#DIV/0!</v>
      </c>
      <c r="D112" s="318" t="e">
        <f>(Mellomregninger!AU112+Mellomregninger!AV112)*1000000/('1a. Spredningsmodell input'!$C$18*'1a. Spredningsmodell input'!$C$17*'1a. Spredningsmodell input'!$C$16*1000*'1a. Spredningsmodell input'!$C$12)</f>
        <v>#VALUE!</v>
      </c>
      <c r="E112" s="318" t="e">
        <f>(Mellomregninger!BG112+Mellomregninger!BH112)*1000000/('1a. Spredningsmodell input'!$C$18*'1a. Spredningsmodell input'!$C$17*'1a. Spredningsmodell input'!$C$16*1000*'1a. Spredningsmodell input'!$C$12)</f>
        <v>#VALUE!</v>
      </c>
      <c r="F112" s="318" t="e">
        <f>(Mellomregninger!BS112+Mellomregninger!BT112)*1000000/('1a. Spredningsmodell input'!$C$18*'1a. Spredningsmodell input'!$C$17*'1a. Spredningsmodell input'!$C$16*1000*'1a. Spredningsmodell input'!$C$12)</f>
        <v>#VALUE!</v>
      </c>
      <c r="G112" s="328" t="e">
        <f>C112/Stoff!$F112</f>
        <v>#DIV/0!</v>
      </c>
      <c r="H112" s="328" t="e">
        <f>D112/Stoff!$F112</f>
        <v>#VALUE!</v>
      </c>
      <c r="I112" s="328" t="e">
        <f>E112/Stoff!$F112</f>
        <v>#VALUE!</v>
      </c>
      <c r="J112" s="328" t="e">
        <f>F112/Stoff!$F112</f>
        <v>#VALUE!</v>
      </c>
      <c r="K112" s="328" t="e">
        <f>IF(G112&lt;1,0,-LN((Stoff!$F112*('1a. Spredningsmodell input'!$C$18*'1a. Spredningsmodell input'!$C$17*'1a. Spredningsmodell input'!$C$16*1000*'1a. Spredningsmodell input'!$C$12)/1000000)/(Mellomregninger!$D112-Stoff!$P112*Mellomregninger!$D112))/(Mellomregninger!$F112+Stoff!$L112*365))</f>
        <v>#DIV/0!</v>
      </c>
    </row>
    <row r="113" spans="1:11" x14ac:dyDescent="0.35">
      <c r="A113" s="301" t="str">
        <f>Stoff!A113</f>
        <v>nystoff 27</v>
      </c>
      <c r="B113" s="320" t="str">
        <f>Mellomregninger!D113</f>
        <v/>
      </c>
      <c r="C113" s="318" t="e">
        <f>'1b. Kons. umettet jord'!E113</f>
        <v>#DIV/0!</v>
      </c>
      <c r="D113" s="318" t="e">
        <f>(Mellomregninger!AU113+Mellomregninger!AV113)*1000000/('1a. Spredningsmodell input'!$C$18*'1a. Spredningsmodell input'!$C$17*'1a. Spredningsmodell input'!$C$16*1000*'1a. Spredningsmodell input'!$C$12)</f>
        <v>#VALUE!</v>
      </c>
      <c r="E113" s="318" t="e">
        <f>(Mellomregninger!BG113+Mellomregninger!BH113)*1000000/('1a. Spredningsmodell input'!$C$18*'1a. Spredningsmodell input'!$C$17*'1a. Spredningsmodell input'!$C$16*1000*'1a. Spredningsmodell input'!$C$12)</f>
        <v>#VALUE!</v>
      </c>
      <c r="F113" s="318" t="e">
        <f>(Mellomregninger!BS113+Mellomregninger!BT113)*1000000/('1a. Spredningsmodell input'!$C$18*'1a. Spredningsmodell input'!$C$17*'1a. Spredningsmodell input'!$C$16*1000*'1a. Spredningsmodell input'!$C$12)</f>
        <v>#VALUE!</v>
      </c>
      <c r="G113" s="328" t="e">
        <f>C113/Stoff!$F113</f>
        <v>#DIV/0!</v>
      </c>
      <c r="H113" s="328" t="e">
        <f>D113/Stoff!$F113</f>
        <v>#VALUE!</v>
      </c>
      <c r="I113" s="328" t="e">
        <f>E113/Stoff!$F113</f>
        <v>#VALUE!</v>
      </c>
      <c r="J113" s="328" t="e">
        <f>F113/Stoff!$F113</f>
        <v>#VALUE!</v>
      </c>
      <c r="K113" s="328" t="e">
        <f>IF(G113&lt;1,0,-LN((Stoff!$F113*('1a. Spredningsmodell input'!$C$18*'1a. Spredningsmodell input'!$C$17*'1a. Spredningsmodell input'!$C$16*1000*'1a. Spredningsmodell input'!$C$12)/1000000)/(Mellomregninger!$D113-Stoff!$P113*Mellomregninger!$D113))/(Mellomregninger!$F113+Stoff!$L113*365))</f>
        <v>#DIV/0!</v>
      </c>
    </row>
    <row r="114" spans="1:11" x14ac:dyDescent="0.35">
      <c r="A114" s="301" t="str">
        <f>Stoff!A114</f>
        <v>nystoff 28</v>
      </c>
      <c r="B114" s="320" t="str">
        <f>Mellomregninger!D114</f>
        <v/>
      </c>
      <c r="C114" s="318" t="e">
        <f>'1b. Kons. umettet jord'!E114</f>
        <v>#DIV/0!</v>
      </c>
      <c r="D114" s="318" t="e">
        <f>(Mellomregninger!AU114+Mellomregninger!AV114)*1000000/('1a. Spredningsmodell input'!$C$18*'1a. Spredningsmodell input'!$C$17*'1a. Spredningsmodell input'!$C$16*1000*'1a. Spredningsmodell input'!$C$12)</f>
        <v>#VALUE!</v>
      </c>
      <c r="E114" s="318" t="e">
        <f>(Mellomregninger!BG114+Mellomregninger!BH114)*1000000/('1a. Spredningsmodell input'!$C$18*'1a. Spredningsmodell input'!$C$17*'1a. Spredningsmodell input'!$C$16*1000*'1a. Spredningsmodell input'!$C$12)</f>
        <v>#VALUE!</v>
      </c>
      <c r="F114" s="318" t="e">
        <f>(Mellomregninger!BS114+Mellomregninger!BT114)*1000000/('1a. Spredningsmodell input'!$C$18*'1a. Spredningsmodell input'!$C$17*'1a. Spredningsmodell input'!$C$16*1000*'1a. Spredningsmodell input'!$C$12)</f>
        <v>#VALUE!</v>
      </c>
      <c r="G114" s="328" t="e">
        <f>C114/Stoff!$F114</f>
        <v>#DIV/0!</v>
      </c>
      <c r="H114" s="328" t="e">
        <f>D114/Stoff!$F114</f>
        <v>#VALUE!</v>
      </c>
      <c r="I114" s="328" t="e">
        <f>E114/Stoff!$F114</f>
        <v>#VALUE!</v>
      </c>
      <c r="J114" s="328" t="e">
        <f>F114/Stoff!$F114</f>
        <v>#VALUE!</v>
      </c>
      <c r="K114" s="328" t="e">
        <f>IF(G114&lt;1,0,-LN((Stoff!$F114*('1a. Spredningsmodell input'!$C$18*'1a. Spredningsmodell input'!$C$17*'1a. Spredningsmodell input'!$C$16*1000*'1a. Spredningsmodell input'!$C$12)/1000000)/(Mellomregninger!$D114-Stoff!$P114*Mellomregninger!$D114))/(Mellomregninger!$F114+Stoff!$L114*365))</f>
        <v>#DIV/0!</v>
      </c>
    </row>
  </sheetData>
  <sheetProtection sheet="1" objects="1" scenarios="1" selectLockedCells="1"/>
  <conditionalFormatting sqref="A35:A37 A30 A22:A23 A68:A114">
    <cfRule type="cellIs" dxfId="41" priority="4" stopIfTrue="1" operator="equal">
      <formula>""</formula>
    </cfRule>
  </conditionalFormatting>
  <conditionalFormatting sqref="A1:K1048576">
    <cfRule type="containsErrors" dxfId="40" priority="2">
      <formula>ISERROR(A1)</formula>
    </cfRule>
  </conditionalFormatting>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f3010fb3-0ead-40f9-8418-3186255a05f9" ContentTypeId="0x010100D14BD004BF1C4459B890F3727F092580" PreviousValue="false"/>
</file>

<file path=customXml/item3.xml><?xml version="1.0" encoding="utf-8"?>
<ct:contentTypeSchema xmlns:ct="http://schemas.microsoft.com/office/2006/metadata/contentType" xmlns:ma="http://schemas.microsoft.com/office/2006/metadata/properties/metaAttributes" ct:_="" ma:_="" ma:contentTypeName="Miljødirektoratet Dokument" ma:contentTypeID="0x010100D14BD004BF1C4459B890F3727F092580007CCD1D9003A35745B6EC7D416D92A96F" ma:contentTypeVersion="4" ma:contentTypeDescription="Opprett et nytt dokument. " ma:contentTypeScope="" ma:versionID="96f794500d90506157dc7aa069448b2f">
  <xsd:schema xmlns:xsd="http://www.w3.org/2001/XMLSchema" xmlns:xs="http://www.w3.org/2001/XMLSchema" xmlns:p="http://schemas.microsoft.com/office/2006/metadata/properties" xmlns:ns2="99b93dda-0db1-4804-bcd9-79ac3408f7b3" targetNamespace="http://schemas.microsoft.com/office/2006/metadata/properties" ma:root="true" ma:fieldsID="5ed7bd8915c25e850aad1b92e88834e4" ns2:_="">
    <xsd:import namespace="99b93dda-0db1-4804-bcd9-79ac3408f7b3"/>
    <xsd:element name="properties">
      <xsd:complexType>
        <xsd:sequence>
          <xsd:element name="documentManagement">
            <xsd:complexType>
              <xsd:all>
                <xsd:element ref="ns2:gdc15e87e6184dc285cecc59dfe3e409" minOccurs="0"/>
                <xsd:element ref="ns2:TaxCatchAll" minOccurs="0"/>
                <xsd:element ref="ns2:TaxCatchAllLabel" minOccurs="0"/>
                <xsd:element ref="ns2:a707137999d24c5390df78a72943486a" minOccurs="0"/>
                <xsd:element ref="ns2:AvtaltDa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b93dda-0db1-4804-bcd9-79ac3408f7b3" elementFormDefault="qualified">
    <xsd:import namespace="http://schemas.microsoft.com/office/2006/documentManagement/types"/>
    <xsd:import namespace="http://schemas.microsoft.com/office/infopath/2007/PartnerControls"/>
    <xsd:element name="gdc15e87e6184dc285cecc59dfe3e409" ma:index="8" nillable="true" ma:taxonomy="true" ma:internalName="gdc15e87e6184dc285cecc59dfe3e409" ma:taxonomyFieldName="Dokumentkategori" ma:displayName="Dokumentkategori" ma:default="" ma:fieldId="{0dc15e87-e618-4dc2-85ce-cc59dfe3e409}" ma:taxonomyMulti="true" ma:sspId="f3010fb3-0ead-40f9-8418-3186255a05f9" ma:termSetId="53e1fc6a-97c5-4630-8402-445232887b95" ma:anchorId="00000000-0000-0000-0000-000000000000" ma:open="true" ma:isKeyword="false">
      <xsd:complexType>
        <xsd:sequence>
          <xsd:element ref="pc:Terms" minOccurs="0" maxOccurs="1"/>
        </xsd:sequence>
      </xsd:complexType>
    </xsd:element>
    <xsd:element name="TaxCatchAll" ma:index="9" nillable="true" ma:displayName="Taxonomy Catch All Column" ma:hidden="true" ma:list="{65e6c4d4-87fa-43e1-b9b9-181d386ab5fa}" ma:internalName="TaxCatchAll" ma:showField="CatchAllData" ma:web="babfb633-cb0d-4026-89cc-b605fe8a13e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5e6c4d4-87fa-43e1-b9b9-181d386ab5fa}" ma:internalName="TaxCatchAllLabel" ma:readOnly="true" ma:showField="CatchAllDataLabel" ma:web="babfb633-cb0d-4026-89cc-b605fe8a13ef">
      <xsd:complexType>
        <xsd:complexContent>
          <xsd:extension base="dms:MultiChoiceLookup">
            <xsd:sequence>
              <xsd:element name="Value" type="dms:Lookup" maxOccurs="unbounded" minOccurs="0" nillable="true"/>
            </xsd:sequence>
          </xsd:extension>
        </xsd:complexContent>
      </xsd:complexType>
    </xsd:element>
    <xsd:element name="a707137999d24c5390df78a72943486a" ma:index="12" nillable="true" ma:taxonomy="true" ma:internalName="a707137999d24c5390df78a72943486a" ma:taxonomyFieldName="Stikkord" ma:displayName="Stikkord" ma:readOnly="false" ma:default="" ma:fieldId="{a7071379-99d2-4c53-90df-78a72943486a}" ma:taxonomyMulti="true" ma:sspId="f3010fb3-0ead-40f9-8418-3186255a05f9" ma:termSetId="5b9839b4-4137-4aaf-bfa7-b3e208cd477c" ma:anchorId="00000000-0000-0000-0000-000000000000" ma:open="true" ma:isKeyword="false">
      <xsd:complexType>
        <xsd:sequence>
          <xsd:element ref="pc:Terms" minOccurs="0" maxOccurs="1"/>
        </xsd:sequence>
      </xsd:complexType>
    </xsd:element>
    <xsd:element name="AvtaltDato" ma:index="14" nillable="true" ma:displayName="Avtalt dato" ma:format="DateOnly" ma:indexed="true" ma:internalName="AvtaltDato"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gdc15e87e6184dc285cecc59dfe3e409 xmlns="99b93dda-0db1-4804-bcd9-79ac3408f7b3">
      <Terms xmlns="http://schemas.microsoft.com/office/infopath/2007/PartnerControls"/>
    </gdc15e87e6184dc285cecc59dfe3e409>
    <TaxCatchAll xmlns="99b93dda-0db1-4804-bcd9-79ac3408f7b3"/>
    <a707137999d24c5390df78a72943486a xmlns="99b93dda-0db1-4804-bcd9-79ac3408f7b3">
      <Terms xmlns="http://schemas.microsoft.com/office/infopath/2007/PartnerControls"/>
    </a707137999d24c5390df78a72943486a>
    <AvtaltDato xmlns="99b93dda-0db1-4804-bcd9-79ac3408f7b3" xsi:nil="true"/>
  </documentManagement>
</p:properties>
</file>

<file path=customXml/itemProps1.xml><?xml version="1.0" encoding="utf-8"?>
<ds:datastoreItem xmlns:ds="http://schemas.openxmlformats.org/officeDocument/2006/customXml" ds:itemID="{D60E36D3-F65A-462C-9206-F1DBD0CC6F33}">
  <ds:schemaRefs>
    <ds:schemaRef ds:uri="http://schemas.microsoft.com/sharepoint/v3/contenttype/forms"/>
  </ds:schemaRefs>
</ds:datastoreItem>
</file>

<file path=customXml/itemProps2.xml><?xml version="1.0" encoding="utf-8"?>
<ds:datastoreItem xmlns:ds="http://schemas.openxmlformats.org/officeDocument/2006/customXml" ds:itemID="{EBA1DD48-D161-4FD1-807B-A57CB6120A56}">
  <ds:schemaRefs>
    <ds:schemaRef ds:uri="Microsoft.SharePoint.Taxonomy.ContentTypeSync"/>
  </ds:schemaRefs>
</ds:datastoreItem>
</file>

<file path=customXml/itemProps3.xml><?xml version="1.0" encoding="utf-8"?>
<ds:datastoreItem xmlns:ds="http://schemas.openxmlformats.org/officeDocument/2006/customXml" ds:itemID="{90AB9581-7E2B-408F-A681-3D3DD3E787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b93dda-0db1-4804-bcd9-79ac3408f7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D89D0A8-BDB0-4ECA-98E8-C9ABB844C8C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99b93dda-0db1-4804-bcd9-79ac3408f7b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17</vt:i4>
      </vt:variant>
      <vt:variant>
        <vt:lpstr>Navngitte områder</vt:lpstr>
      </vt:variant>
      <vt:variant>
        <vt:i4>4</vt:i4>
      </vt:variant>
    </vt:vector>
  </HeadingPairs>
  <TitlesOfParts>
    <vt:vector size="21" baseType="lpstr">
      <vt:lpstr>Brukerveiledning</vt:lpstr>
      <vt:lpstr>0 Sjekkliste</vt:lpstr>
      <vt:lpstr>1a. Spredningsmodell input</vt:lpstr>
      <vt:lpstr>1b. Kons. umettet jord</vt:lpstr>
      <vt:lpstr>1c. Kons. porevann</vt:lpstr>
      <vt:lpstr>1d. Kons. mettet sone</vt:lpstr>
      <vt:lpstr>1e. Kons. grunnvann</vt:lpstr>
      <vt:lpstr>1f. Kons. resipient</vt:lpstr>
      <vt:lpstr>2a. Prognose umettet jord</vt:lpstr>
      <vt:lpstr>2b. Prognose mettet sone</vt:lpstr>
      <vt:lpstr>2c. Prognose grunnvann</vt:lpstr>
      <vt:lpstr>2d. Prognose resipient</vt:lpstr>
      <vt:lpstr>Mellomregninger</vt:lpstr>
      <vt:lpstr>Figur-Beregninger (hide)</vt:lpstr>
      <vt:lpstr>Figur-output</vt:lpstr>
      <vt:lpstr>Stoff</vt:lpstr>
      <vt:lpstr>Revisjonsprotokoll</vt:lpstr>
      <vt:lpstr>'1a. Spredningsmodell input'!Utskriftsområde</vt:lpstr>
      <vt:lpstr>'Figur-output'!Utskriftsområde</vt:lpstr>
      <vt:lpstr>Stoff!Utskriftsområde</vt:lpstr>
      <vt:lpstr>Stoff!Utskriftstitler</vt:lpstr>
    </vt:vector>
  </TitlesOfParts>
  <Company>NGI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Peter Arp</dc:creator>
  <cp:lastModifiedBy>Anja Vardan Canales</cp:lastModifiedBy>
  <cp:lastPrinted>2018-04-15T20:46:09Z</cp:lastPrinted>
  <dcterms:created xsi:type="dcterms:W3CDTF">2015-09-17T19:20:58Z</dcterms:created>
  <dcterms:modified xsi:type="dcterms:W3CDTF">2020-05-08T07:27:32Z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0x010100D14BD004BF1C4459B890F3727F092580007CCD1D9003A35745B6EC7D416D92A96F</vt:lpwstr>
  </property>
</Properties>
</file>